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G:\Organigrama\50170100000000 Desarrollo Inmobiliario y Vivienda\Desarrollo de Producto Hipotecario\HIPOTECARIOS\800\Simulador\"/>
    </mc:Choice>
  </mc:AlternateContent>
  <xr:revisionPtr revIDLastSave="0" documentId="8_{3ADBA507-6FDF-479D-A499-5BD74F35F0D6}" xr6:coauthVersionLast="47" xr6:coauthVersionMax="47" xr10:uidLastSave="{00000000-0000-0000-0000-000000000000}"/>
  <workbookProtection workbookAlgorithmName="SHA-512" workbookHashValue="HM9d9WR7iYtcKvgXI8xkqTP5FB1sdV1YFAOdR4nJ2vxr9W7HFbrzMl+onpBQg5d0Q6HwCMTyMWv+EH0G2nVF1g==" workbookSaltValue="suktw9cIFMz3G+kdv02BkA==" workbookSpinCount="100000" lockStructure="1"/>
  <bookViews>
    <workbookView xWindow="-120" yWindow="-120" windowWidth="29040" windowHeight="15840" xr2:uid="{B03359B9-5530-430D-9B62-B9302F8E296A}"/>
  </bookViews>
  <sheets>
    <sheet name="Sim Reg N° 800" sheetId="2" r:id="rId1"/>
    <sheet name="Valor UVA" sheetId="3" state="hidden" r:id="rId2"/>
    <sheet name="Variables" sheetId="1" state="hidden" r:id="rId3"/>
  </sheets>
  <definedNames>
    <definedName name="DatosExternos_1" localSheetId="1" hidden="1">'Valor UVA'!$A$1:$C$2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2" l="1"/>
  <c r="F36" i="2"/>
  <c r="F37" i="2"/>
  <c r="F38" i="2"/>
  <c r="F39" i="2"/>
  <c r="F34" i="2"/>
  <c r="J8" i="2" a="1"/>
  <c r="J8" i="2" s="1"/>
  <c r="B22" i="2" l="1"/>
  <c r="D14" i="2" l="1"/>
  <c r="J9" i="2"/>
  <c r="I52" i="2"/>
  <c r="I64" i="2" s="1"/>
  <c r="I76" i="2" s="1"/>
  <c r="I88" i="2" s="1"/>
  <c r="I53" i="2"/>
  <c r="I65" i="2" s="1"/>
  <c r="I77" i="2" s="1"/>
  <c r="I89" i="2" s="1"/>
  <c r="I48" i="2"/>
  <c r="I60" i="2" s="1"/>
  <c r="I72" i="2" s="1"/>
  <c r="I84" i="2" s="1"/>
  <c r="I49" i="2"/>
  <c r="I61" i="2" s="1"/>
  <c r="I73" i="2" s="1"/>
  <c r="I85" i="2" s="1"/>
  <c r="I50" i="2"/>
  <c r="I62" i="2" s="1"/>
  <c r="I74" i="2" s="1"/>
  <c r="I86" i="2" s="1"/>
  <c r="I51" i="2"/>
  <c r="I63" i="2" s="1"/>
  <c r="I75" i="2" s="1"/>
  <c r="I87" i="2" s="1"/>
  <c r="I47" i="2"/>
  <c r="I59" i="2" s="1"/>
  <c r="I71" i="2" s="1"/>
  <c r="I83" i="2" s="1"/>
  <c r="I54" i="2"/>
  <c r="I66" i="2" s="1"/>
  <c r="I78" i="2" s="1"/>
  <c r="I90" i="2" s="1"/>
  <c r="I55" i="2"/>
  <c r="I67" i="2" s="1"/>
  <c r="I79" i="2" s="1"/>
  <c r="I91" i="2" s="1"/>
  <c r="I56" i="2"/>
  <c r="I68" i="2" s="1"/>
  <c r="I80" i="2" s="1"/>
  <c r="I92" i="2" s="1"/>
  <c r="I57" i="2"/>
  <c r="I69" i="2" s="1"/>
  <c r="I81" i="2" s="1"/>
  <c r="I93" i="2" s="1"/>
  <c r="E9" i="2" l="1"/>
  <c r="D16" i="2"/>
  <c r="E13" i="2"/>
  <c r="E11" i="2"/>
  <c r="D20" i="2" l="1"/>
  <c r="E49" i="1"/>
  <c r="E48" i="1"/>
  <c r="E45" i="1"/>
  <c r="E44" i="1"/>
  <c r="K9" i="2"/>
  <c r="J10" i="2"/>
  <c r="E10" i="2" s="1"/>
  <c r="C49" i="1"/>
  <c r="C48" i="1"/>
  <c r="I102" i="2" l="1"/>
  <c r="I114" i="2" s="1"/>
  <c r="I126" i="2" s="1"/>
  <c r="I138" i="2" s="1"/>
  <c r="I150" i="2" s="1"/>
  <c r="I162" i="2" s="1"/>
  <c r="I174" i="2" s="1"/>
  <c r="I186" i="2" s="1"/>
  <c r="I198" i="2" s="1"/>
  <c r="I210" i="2" s="1"/>
  <c r="I222" i="2" s="1"/>
  <c r="I234" i="2" s="1"/>
  <c r="I246" i="2" s="1"/>
  <c r="I258" i="2" s="1"/>
  <c r="I270" i="2" s="1"/>
  <c r="I282" i="2" s="1"/>
  <c r="I294" i="2" s="1"/>
  <c r="I306" i="2" s="1"/>
  <c r="I318" i="2" s="1"/>
  <c r="I330" i="2" s="1"/>
  <c r="I342" i="2" s="1"/>
  <c r="I354" i="2" s="1"/>
  <c r="I366" i="2" s="1"/>
  <c r="I378" i="2" s="1"/>
  <c r="I390" i="2" s="1"/>
  <c r="I105" i="2"/>
  <c r="I117" i="2" s="1"/>
  <c r="I129" i="2" s="1"/>
  <c r="I141" i="2" s="1"/>
  <c r="I153" i="2" s="1"/>
  <c r="I165" i="2" s="1"/>
  <c r="I177" i="2" s="1"/>
  <c r="I189" i="2" s="1"/>
  <c r="I201" i="2" s="1"/>
  <c r="I213" i="2" s="1"/>
  <c r="I225" i="2" s="1"/>
  <c r="I237" i="2" s="1"/>
  <c r="I249" i="2" s="1"/>
  <c r="I261" i="2" s="1"/>
  <c r="I273" i="2" s="1"/>
  <c r="I285" i="2" s="1"/>
  <c r="I297" i="2" s="1"/>
  <c r="I309" i="2" s="1"/>
  <c r="I321" i="2" s="1"/>
  <c r="I333" i="2" s="1"/>
  <c r="I345" i="2" s="1"/>
  <c r="I357" i="2" s="1"/>
  <c r="I369" i="2" s="1"/>
  <c r="I381" i="2" s="1"/>
  <c r="I393" i="2" s="1"/>
  <c r="I101" i="2"/>
  <c r="I113" i="2" s="1"/>
  <c r="I125" i="2" s="1"/>
  <c r="I137" i="2" s="1"/>
  <c r="I149" i="2" s="1"/>
  <c r="I161" i="2" s="1"/>
  <c r="I173" i="2" s="1"/>
  <c r="I185" i="2" s="1"/>
  <c r="I197" i="2" s="1"/>
  <c r="I209" i="2" s="1"/>
  <c r="I221" i="2" s="1"/>
  <c r="I233" i="2" s="1"/>
  <c r="I245" i="2" s="1"/>
  <c r="I257" i="2" s="1"/>
  <c r="I269" i="2" s="1"/>
  <c r="I281" i="2" s="1"/>
  <c r="I293" i="2" s="1"/>
  <c r="I305" i="2" s="1"/>
  <c r="I317" i="2" s="1"/>
  <c r="I329" i="2" s="1"/>
  <c r="I341" i="2" s="1"/>
  <c r="I353" i="2" s="1"/>
  <c r="I365" i="2" s="1"/>
  <c r="I377" i="2" s="1"/>
  <c r="I389" i="2" s="1"/>
  <c r="I103" i="2"/>
  <c r="I115" i="2" s="1"/>
  <c r="I127" i="2" s="1"/>
  <c r="I139" i="2" s="1"/>
  <c r="I151" i="2" s="1"/>
  <c r="I163" i="2" s="1"/>
  <c r="I175" i="2" s="1"/>
  <c r="I187" i="2" s="1"/>
  <c r="I199" i="2" s="1"/>
  <c r="I211" i="2" s="1"/>
  <c r="I223" i="2" s="1"/>
  <c r="I235" i="2" s="1"/>
  <c r="I247" i="2" s="1"/>
  <c r="I259" i="2" s="1"/>
  <c r="I271" i="2" s="1"/>
  <c r="I283" i="2" s="1"/>
  <c r="I295" i="2" s="1"/>
  <c r="I307" i="2" s="1"/>
  <c r="I319" i="2" s="1"/>
  <c r="I331" i="2" s="1"/>
  <c r="I343" i="2" s="1"/>
  <c r="I355" i="2" s="1"/>
  <c r="I367" i="2" s="1"/>
  <c r="I379" i="2" s="1"/>
  <c r="I391" i="2" s="1"/>
  <c r="I99" i="2"/>
  <c r="I111" i="2" s="1"/>
  <c r="I123" i="2" s="1"/>
  <c r="I135" i="2" s="1"/>
  <c r="I147" i="2" s="1"/>
  <c r="I159" i="2" s="1"/>
  <c r="I171" i="2" s="1"/>
  <c r="I183" i="2" s="1"/>
  <c r="I195" i="2" s="1"/>
  <c r="I207" i="2" s="1"/>
  <c r="I219" i="2" s="1"/>
  <c r="I231" i="2" s="1"/>
  <c r="I243" i="2" s="1"/>
  <c r="I255" i="2" s="1"/>
  <c r="I267" i="2" s="1"/>
  <c r="I279" i="2" s="1"/>
  <c r="I291" i="2" s="1"/>
  <c r="I303" i="2" s="1"/>
  <c r="I315" i="2" s="1"/>
  <c r="I327" i="2" s="1"/>
  <c r="I339" i="2" s="1"/>
  <c r="I351" i="2" s="1"/>
  <c r="I363" i="2" s="1"/>
  <c r="I375" i="2" s="1"/>
  <c r="I387" i="2" s="1"/>
  <c r="I97" i="2"/>
  <c r="I109" i="2" s="1"/>
  <c r="I121" i="2" s="1"/>
  <c r="I133" i="2" s="1"/>
  <c r="I145" i="2" s="1"/>
  <c r="I157" i="2" s="1"/>
  <c r="I169" i="2" s="1"/>
  <c r="I181" i="2" s="1"/>
  <c r="I193" i="2" s="1"/>
  <c r="I205" i="2" s="1"/>
  <c r="I217" i="2" s="1"/>
  <c r="I229" i="2" s="1"/>
  <c r="I241" i="2" s="1"/>
  <c r="I253" i="2" s="1"/>
  <c r="I265" i="2" s="1"/>
  <c r="I277" i="2" s="1"/>
  <c r="I289" i="2" s="1"/>
  <c r="I301" i="2" s="1"/>
  <c r="I313" i="2" s="1"/>
  <c r="I325" i="2" s="1"/>
  <c r="I337" i="2" s="1"/>
  <c r="I349" i="2" s="1"/>
  <c r="I361" i="2" s="1"/>
  <c r="I373" i="2" s="1"/>
  <c r="I385" i="2" s="1"/>
  <c r="I96" i="2"/>
  <c r="I108" i="2" s="1"/>
  <c r="I120" i="2" s="1"/>
  <c r="I132" i="2" s="1"/>
  <c r="I144" i="2" s="1"/>
  <c r="I156" i="2" s="1"/>
  <c r="I168" i="2" s="1"/>
  <c r="I180" i="2" s="1"/>
  <c r="I192" i="2" s="1"/>
  <c r="I204" i="2" s="1"/>
  <c r="I216" i="2" s="1"/>
  <c r="I228" i="2" s="1"/>
  <c r="I240" i="2" s="1"/>
  <c r="I252" i="2" s="1"/>
  <c r="I264" i="2" s="1"/>
  <c r="I276" i="2" s="1"/>
  <c r="I288" i="2" s="1"/>
  <c r="I300" i="2" s="1"/>
  <c r="I312" i="2" s="1"/>
  <c r="I324" i="2" s="1"/>
  <c r="I336" i="2" s="1"/>
  <c r="I348" i="2" s="1"/>
  <c r="I360" i="2" s="1"/>
  <c r="I372" i="2" s="1"/>
  <c r="I384" i="2" s="1"/>
  <c r="I95" i="2"/>
  <c r="I107" i="2" s="1"/>
  <c r="I119" i="2" s="1"/>
  <c r="I131" i="2" s="1"/>
  <c r="I143" i="2" s="1"/>
  <c r="I155" i="2" s="1"/>
  <c r="I167" i="2" s="1"/>
  <c r="I179" i="2" s="1"/>
  <c r="I191" i="2" s="1"/>
  <c r="I203" i="2" s="1"/>
  <c r="I215" i="2" s="1"/>
  <c r="I227" i="2" s="1"/>
  <c r="I239" i="2" s="1"/>
  <c r="I251" i="2" s="1"/>
  <c r="I263" i="2" s="1"/>
  <c r="I275" i="2" s="1"/>
  <c r="I287" i="2" s="1"/>
  <c r="I299" i="2" s="1"/>
  <c r="I311" i="2" s="1"/>
  <c r="I323" i="2" s="1"/>
  <c r="I335" i="2" s="1"/>
  <c r="I347" i="2" s="1"/>
  <c r="I359" i="2" s="1"/>
  <c r="I371" i="2" s="1"/>
  <c r="I383" i="2" s="1"/>
  <c r="I98" i="2"/>
  <c r="I110" i="2" s="1"/>
  <c r="I122" i="2" s="1"/>
  <c r="I134" i="2" s="1"/>
  <c r="I146" i="2" s="1"/>
  <c r="I158" i="2" s="1"/>
  <c r="I170" i="2" s="1"/>
  <c r="I182" i="2" s="1"/>
  <c r="I194" i="2" s="1"/>
  <c r="I206" i="2" s="1"/>
  <c r="I218" i="2" s="1"/>
  <c r="I230" i="2" s="1"/>
  <c r="I242" i="2" s="1"/>
  <c r="I254" i="2" s="1"/>
  <c r="I266" i="2" s="1"/>
  <c r="I278" i="2" s="1"/>
  <c r="I290" i="2" s="1"/>
  <c r="I302" i="2" s="1"/>
  <c r="I314" i="2" s="1"/>
  <c r="I326" i="2" s="1"/>
  <c r="I338" i="2" s="1"/>
  <c r="I350" i="2" s="1"/>
  <c r="I362" i="2" s="1"/>
  <c r="I374" i="2" s="1"/>
  <c r="I386" i="2" s="1"/>
  <c r="I104" i="2"/>
  <c r="I116" i="2" s="1"/>
  <c r="I128" i="2" s="1"/>
  <c r="I140" i="2" s="1"/>
  <c r="I152" i="2" s="1"/>
  <c r="I164" i="2" s="1"/>
  <c r="I176" i="2" s="1"/>
  <c r="I188" i="2" s="1"/>
  <c r="I200" i="2" s="1"/>
  <c r="I212" i="2" s="1"/>
  <c r="I224" i="2" s="1"/>
  <c r="I236" i="2" s="1"/>
  <c r="I248" i="2" s="1"/>
  <c r="I260" i="2" s="1"/>
  <c r="I272" i="2" s="1"/>
  <c r="I284" i="2" s="1"/>
  <c r="I296" i="2" s="1"/>
  <c r="I308" i="2" s="1"/>
  <c r="I320" i="2" s="1"/>
  <c r="I332" i="2" s="1"/>
  <c r="I344" i="2" s="1"/>
  <c r="I356" i="2" s="1"/>
  <c r="I368" i="2" s="1"/>
  <c r="I380" i="2" s="1"/>
  <c r="I392" i="2" s="1"/>
  <c r="I100" i="2"/>
  <c r="I112" i="2" s="1"/>
  <c r="I124" i="2" s="1"/>
  <c r="I136" i="2" s="1"/>
  <c r="I148" i="2" s="1"/>
  <c r="I160" i="2" s="1"/>
  <c r="I172" i="2" s="1"/>
  <c r="I184" i="2" s="1"/>
  <c r="I196" i="2" s="1"/>
  <c r="I208" i="2" s="1"/>
  <c r="I220" i="2" s="1"/>
  <c r="I232" i="2" s="1"/>
  <c r="I244" i="2" s="1"/>
  <c r="I256" i="2" s="1"/>
  <c r="I268" i="2" s="1"/>
  <c r="I280" i="2" s="1"/>
  <c r="I292" i="2" s="1"/>
  <c r="I304" i="2" s="1"/>
  <c r="I316" i="2" s="1"/>
  <c r="I328" i="2" s="1"/>
  <c r="I340" i="2" s="1"/>
  <c r="I352" i="2" s="1"/>
  <c r="I364" i="2" s="1"/>
  <c r="I376" i="2" s="1"/>
  <c r="I388" i="2" s="1"/>
  <c r="I34" i="2"/>
  <c r="I46" i="2" s="1"/>
  <c r="I58" i="2" s="1"/>
  <c r="I70" i="2" s="1"/>
  <c r="I82" i="2" s="1"/>
  <c r="I94" i="2" s="1"/>
  <c r="I106" i="2" s="1"/>
  <c r="I118" i="2" s="1"/>
  <c r="I130" i="2" s="1"/>
  <c r="I142" i="2" s="1"/>
  <c r="I154" i="2" s="1"/>
  <c r="I166" i="2" s="1"/>
  <c r="I178" i="2" s="1"/>
  <c r="I190" i="2" s="1"/>
  <c r="I202" i="2" s="1"/>
  <c r="I214" i="2" s="1"/>
  <c r="I226" i="2" s="1"/>
  <c r="I238" i="2" s="1"/>
  <c r="I250" i="2" s="1"/>
  <c r="I262" i="2" s="1"/>
  <c r="I274" i="2" s="1"/>
  <c r="I286" i="2" s="1"/>
  <c r="I298" i="2" s="1"/>
  <c r="I310" i="2" s="1"/>
  <c r="I322" i="2" s="1"/>
  <c r="I334" i="2" s="1"/>
  <c r="I346" i="2" s="1"/>
  <c r="I358" i="2" s="1"/>
  <c r="I370" i="2" s="1"/>
  <c r="I382" i="2" s="1"/>
  <c r="C33" i="2"/>
  <c r="J14" i="2"/>
  <c r="E14" i="2" s="1"/>
  <c r="F40" i="2" l="1"/>
  <c r="F42" i="2"/>
  <c r="F41" i="2"/>
  <c r="F43" i="2"/>
  <c r="F44" i="2"/>
  <c r="F45" i="2"/>
  <c r="K33" i="2"/>
  <c r="D17" i="2"/>
  <c r="D18" i="2" s="1"/>
  <c r="L34" i="2" s="1"/>
  <c r="J33" i="2"/>
  <c r="G39" i="2" l="1"/>
  <c r="G34" i="2"/>
  <c r="G41" i="2"/>
  <c r="G40" i="2"/>
  <c r="G44" i="2"/>
  <c r="G43" i="2"/>
  <c r="G45" i="2"/>
  <c r="G36" i="2"/>
  <c r="G35" i="2"/>
  <c r="G37" i="2"/>
  <c r="G38" i="2"/>
  <c r="G42" i="2"/>
  <c r="D35" i="2"/>
  <c r="D43" i="2"/>
  <c r="D36" i="2"/>
  <c r="D44" i="2"/>
  <c r="D37" i="2"/>
  <c r="D45" i="2"/>
  <c r="D38" i="2"/>
  <c r="D34" i="2"/>
  <c r="D39" i="2"/>
  <c r="E34" i="2"/>
  <c r="D40" i="2"/>
  <c r="D41" i="2"/>
  <c r="D42" i="2"/>
  <c r="E44" i="2"/>
  <c r="E41" i="2"/>
  <c r="E45" i="2"/>
  <c r="E42" i="2"/>
  <c r="E39" i="2"/>
  <c r="E35" i="2"/>
  <c r="E43" i="2"/>
  <c r="E36" i="2"/>
  <c r="E37" i="2"/>
  <c r="E38" i="2"/>
  <c r="E40" i="2"/>
  <c r="M34" i="2" l="1"/>
  <c r="H35" i="2"/>
  <c r="J35" i="2" s="1"/>
  <c r="H34" i="2"/>
  <c r="C34" i="2"/>
  <c r="M35" i="2" s="1"/>
  <c r="H37" i="2"/>
  <c r="J37" i="2" s="1"/>
  <c r="K37" i="2" s="1"/>
  <c r="H36" i="2"/>
  <c r="J36" i="2" s="1"/>
  <c r="K36" i="2" s="1"/>
  <c r="C35" i="2" l="1"/>
  <c r="C36" i="2" s="1"/>
  <c r="L37" i="2" s="1"/>
  <c r="L35" i="2"/>
  <c r="K35" i="2"/>
  <c r="C37" i="2" l="1"/>
  <c r="L38" i="2" s="1"/>
  <c r="M37" i="2"/>
  <c r="M36" i="2"/>
  <c r="L36" i="2"/>
  <c r="C38" i="2" l="1"/>
  <c r="M38" i="2"/>
  <c r="M39" i="2" l="1"/>
  <c r="L39" i="2"/>
  <c r="C39" i="2"/>
  <c r="L40" i="2" s="1"/>
  <c r="H45" i="2"/>
  <c r="J45" i="2" s="1"/>
  <c r="K45" i="2" s="1"/>
  <c r="H41" i="2"/>
  <c r="J41" i="2" s="1"/>
  <c r="K41" i="2" s="1"/>
  <c r="H44" i="2"/>
  <c r="J44" i="2" s="1"/>
  <c r="K44" i="2" s="1"/>
  <c r="H42" i="2"/>
  <c r="J42" i="2" s="1"/>
  <c r="K42" i="2" s="1"/>
  <c r="H43" i="2"/>
  <c r="J43" i="2" s="1"/>
  <c r="K43" i="2" s="1"/>
  <c r="H40" i="2"/>
  <c r="J40" i="2" s="1"/>
  <c r="H39" i="2" l="1"/>
  <c r="J39" i="2" s="1"/>
  <c r="K39" i="2" s="1"/>
  <c r="M40" i="2"/>
  <c r="C40" i="2"/>
  <c r="M41" i="2" s="1"/>
  <c r="K40" i="2"/>
  <c r="C41" i="2" l="1"/>
  <c r="M42" i="2" s="1"/>
  <c r="L41" i="2"/>
  <c r="C42" i="2" l="1"/>
  <c r="M43" i="2" s="1"/>
  <c r="L42" i="2"/>
  <c r="C43" i="2" l="1"/>
  <c r="L44" i="2" s="1"/>
  <c r="L43" i="2"/>
  <c r="C44" i="2" l="1"/>
  <c r="C45" i="2" s="1"/>
  <c r="M44" i="2"/>
  <c r="L45" i="2" l="1"/>
  <c r="M45" i="2"/>
  <c r="F47" i="2" l="1"/>
  <c r="G47" i="2" s="1"/>
  <c r="F51" i="2"/>
  <c r="G51" i="2" s="1"/>
  <c r="F46" i="2"/>
  <c r="G46" i="2" s="1"/>
  <c r="F49" i="2"/>
  <c r="G49" i="2" s="1"/>
  <c r="F48" i="2"/>
  <c r="G48" i="2" s="1"/>
  <c r="F50" i="2"/>
  <c r="G50" i="2" s="1"/>
  <c r="D48" i="2"/>
  <c r="D46" i="2"/>
  <c r="C46" i="2" s="1"/>
  <c r="E47" i="2"/>
  <c r="E51" i="2"/>
  <c r="D49" i="2"/>
  <c r="E46" i="2"/>
  <c r="E48" i="2"/>
  <c r="D47" i="2"/>
  <c r="D50" i="2"/>
  <c r="E49" i="2"/>
  <c r="D51" i="2"/>
  <c r="E50" i="2"/>
  <c r="M46" i="2"/>
  <c r="H49" i="2" l="1"/>
  <c r="J49" i="2" s="1"/>
  <c r="K49" i="2" s="1"/>
  <c r="H48" i="2"/>
  <c r="J48" i="2" s="1"/>
  <c r="K48" i="2" s="1"/>
  <c r="H51" i="2"/>
  <c r="H46" i="2"/>
  <c r="H47" i="2"/>
  <c r="J47" i="2" s="1"/>
  <c r="H50" i="2"/>
  <c r="J50" i="2" s="1"/>
  <c r="K50" i="2" s="1"/>
  <c r="M47" i="2"/>
  <c r="C47" i="2"/>
  <c r="K47" i="2" l="1"/>
  <c r="J46" i="2"/>
  <c r="M48" i="2"/>
  <c r="C48" i="2"/>
  <c r="K46" i="2" l="1"/>
  <c r="M49" i="2"/>
  <c r="C49" i="2"/>
  <c r="M50" i="2" l="1"/>
  <c r="C50" i="2"/>
  <c r="M51" i="2" l="1"/>
  <c r="C51" i="2"/>
  <c r="D52" i="2"/>
  <c r="F52" i="2" l="1"/>
  <c r="G52" i="2" s="1"/>
  <c r="F53" i="2"/>
  <c r="G53" i="2" s="1"/>
  <c r="F54" i="2"/>
  <c r="G54" i="2" s="1"/>
  <c r="F55" i="2"/>
  <c r="G55" i="2" s="1"/>
  <c r="F56" i="2"/>
  <c r="G56" i="2" s="1"/>
  <c r="F57" i="2"/>
  <c r="G57" i="2" s="1"/>
  <c r="D55" i="2"/>
  <c r="D56" i="2"/>
  <c r="E53" i="2"/>
  <c r="E55" i="2"/>
  <c r="D54" i="2"/>
  <c r="E54" i="2"/>
  <c r="E52" i="2"/>
  <c r="E57" i="2"/>
  <c r="D57" i="2"/>
  <c r="E56" i="2"/>
  <c r="D53" i="2"/>
  <c r="H38" i="2"/>
  <c r="J38" i="2" s="1"/>
  <c r="K38" i="2" s="1"/>
  <c r="J34" i="2"/>
  <c r="K34" i="2" l="1"/>
  <c r="H53" i="2"/>
  <c r="H56" i="2"/>
  <c r="H52" i="2"/>
  <c r="H55" i="2"/>
  <c r="H57" i="2"/>
  <c r="H54" i="2"/>
  <c r="J51" i="2"/>
  <c r="C52" i="2"/>
  <c r="K51" i="2" l="1"/>
  <c r="J52" i="2"/>
  <c r="C53" i="2"/>
  <c r="J53" i="2" l="1"/>
  <c r="K53" i="2" s="1"/>
  <c r="K52" i="2"/>
  <c r="C54" i="2"/>
  <c r="J54" i="2" l="1"/>
  <c r="K54" i="2" s="1"/>
  <c r="C55" i="2"/>
  <c r="J55" i="2" l="1"/>
  <c r="K55" i="2" s="1"/>
  <c r="C56" i="2"/>
  <c r="E383" i="2" l="1"/>
  <c r="E388" i="2"/>
  <c r="D337" i="2"/>
  <c r="E385" i="2"/>
  <c r="E295" i="2"/>
  <c r="J56" i="2"/>
  <c r="K56" i="2" s="1"/>
  <c r="E342" i="2"/>
  <c r="D359" i="2" l="1"/>
  <c r="E238" i="2"/>
  <c r="D314" i="2"/>
  <c r="D183" i="2"/>
  <c r="E375" i="2"/>
  <c r="E277" i="2"/>
  <c r="E282" i="2"/>
  <c r="E77" i="2"/>
  <c r="E274" i="2"/>
  <c r="E94" i="2"/>
  <c r="D388" i="2"/>
  <c r="D201" i="2"/>
  <c r="E164" i="2"/>
  <c r="D324" i="2"/>
  <c r="D283" i="2"/>
  <c r="E330" i="2"/>
  <c r="D327" i="2"/>
  <c r="E169" i="2"/>
  <c r="E347" i="2"/>
  <c r="E288" i="2"/>
  <c r="D215" i="2"/>
  <c r="D124" i="2"/>
  <c r="E84" i="2"/>
  <c r="E359" i="2"/>
  <c r="D279" i="2"/>
  <c r="E317" i="2"/>
  <c r="E354" i="2"/>
  <c r="D306" i="2"/>
  <c r="E299" i="2"/>
  <c r="E259" i="2"/>
  <c r="E316" i="2"/>
  <c r="E140" i="2"/>
  <c r="D338" i="2"/>
  <c r="E107" i="2"/>
  <c r="E226" i="2"/>
  <c r="E61" i="2"/>
  <c r="D80" i="2"/>
  <c r="D75" i="2"/>
  <c r="E179" i="2"/>
  <c r="E100" i="2"/>
  <c r="D161" i="2"/>
  <c r="E171" i="2"/>
  <c r="E180" i="2"/>
  <c r="D214" i="2"/>
  <c r="E260" i="2"/>
  <c r="D115" i="2"/>
  <c r="E214" i="2"/>
  <c r="D273" i="2"/>
  <c r="E249" i="2"/>
  <c r="E160" i="2"/>
  <c r="D72" i="2"/>
  <c r="D120" i="2"/>
  <c r="D181" i="2"/>
  <c r="E185" i="2"/>
  <c r="E204" i="2"/>
  <c r="D130" i="2"/>
  <c r="E174" i="2"/>
  <c r="D218" i="2"/>
  <c r="D182" i="2"/>
  <c r="D187" i="2"/>
  <c r="D206" i="2"/>
  <c r="E189" i="2"/>
  <c r="E261" i="2"/>
  <c r="E236" i="2"/>
  <c r="D241" i="2"/>
  <c r="D203" i="2"/>
  <c r="E151" i="2"/>
  <c r="E122" i="2"/>
  <c r="D268" i="2"/>
  <c r="E111" i="2"/>
  <c r="E240" i="2"/>
  <c r="E125" i="2"/>
  <c r="E264" i="2"/>
  <c r="D246" i="2"/>
  <c r="D138" i="2"/>
  <c r="E162" i="2"/>
  <c r="D248" i="2"/>
  <c r="E158" i="2"/>
  <c r="E344" i="2"/>
  <c r="D289" i="2"/>
  <c r="D258" i="2"/>
  <c r="D356" i="2"/>
  <c r="D340" i="2"/>
  <c r="D100" i="2"/>
  <c r="E349" i="2"/>
  <c r="E198" i="2"/>
  <c r="E251" i="2"/>
  <c r="D126" i="2"/>
  <c r="D227" i="2"/>
  <c r="D211" i="2"/>
  <c r="E253" i="2"/>
  <c r="D212" i="2"/>
  <c r="D295" i="2"/>
  <c r="E276" i="2"/>
  <c r="E386" i="2"/>
  <c r="D92" i="2"/>
  <c r="D310" i="2"/>
  <c r="E294" i="2"/>
  <c r="E106" i="2"/>
  <c r="E134" i="2"/>
  <c r="E182" i="2"/>
  <c r="E114" i="2"/>
  <c r="D256" i="2"/>
  <c r="E82" i="2"/>
  <c r="E74" i="2"/>
  <c r="D254" i="2"/>
  <c r="D374" i="2"/>
  <c r="E293" i="2"/>
  <c r="D67" i="2"/>
  <c r="D176" i="2"/>
  <c r="E130" i="2"/>
  <c r="E255" i="2"/>
  <c r="E219" i="2"/>
  <c r="E229" i="2"/>
  <c r="E103" i="2"/>
  <c r="D111" i="2"/>
  <c r="D156" i="2"/>
  <c r="D148" i="2"/>
  <c r="E258" i="2"/>
  <c r="E311" i="2"/>
  <c r="D204" i="2"/>
  <c r="E104" i="2"/>
  <c r="D167" i="2"/>
  <c r="D188" i="2"/>
  <c r="D313" i="2"/>
  <c r="D142" i="2"/>
  <c r="D368" i="2"/>
  <c r="E379" i="2"/>
  <c r="D159" i="2"/>
  <c r="D318" i="2"/>
  <c r="E302" i="2"/>
  <c r="D166" i="2"/>
  <c r="E92" i="2"/>
  <c r="E355" i="2"/>
  <c r="E334" i="2"/>
  <c r="D267" i="2"/>
  <c r="D194" i="2"/>
  <c r="E340" i="2"/>
  <c r="E133" i="2"/>
  <c r="E358" i="2"/>
  <c r="D304" i="2"/>
  <c r="E297" i="2"/>
  <c r="D117" i="2"/>
  <c r="D305" i="2"/>
  <c r="D233" i="2"/>
  <c r="D350" i="2"/>
  <c r="D266" i="2"/>
  <c r="E187" i="2"/>
  <c r="E156" i="2"/>
  <c r="D272" i="2"/>
  <c r="D264" i="2"/>
  <c r="E291" i="2"/>
  <c r="D73" i="2"/>
  <c r="D261" i="2"/>
  <c r="E256" i="2"/>
  <c r="D186" i="2"/>
  <c r="D163" i="2"/>
  <c r="E58" i="2"/>
  <c r="E147" i="2"/>
  <c r="D265" i="2"/>
  <c r="D185" i="2"/>
  <c r="D226" i="2"/>
  <c r="E377" i="2"/>
  <c r="E284" i="2"/>
  <c r="D287" i="2"/>
  <c r="D383" i="2"/>
  <c r="E149" i="2"/>
  <c r="E390" i="2"/>
  <c r="D333" i="2"/>
  <c r="D224" i="2"/>
  <c r="E144" i="2"/>
  <c r="E176" i="2"/>
  <c r="E216" i="2"/>
  <c r="D205" i="2"/>
  <c r="E192" i="2"/>
  <c r="D76" i="2"/>
  <c r="D221" i="2"/>
  <c r="E281" i="2"/>
  <c r="E328" i="2"/>
  <c r="E75" i="2"/>
  <c r="E64" i="2"/>
  <c r="D250" i="2"/>
  <c r="E378" i="2"/>
  <c r="D109" i="2"/>
  <c r="E99" i="2"/>
  <c r="E228" i="2"/>
  <c r="D358" i="2"/>
  <c r="E269" i="2"/>
  <c r="E145" i="2"/>
  <c r="D197" i="2"/>
  <c r="D164" i="2"/>
  <c r="D298" i="2"/>
  <c r="D113" i="2"/>
  <c r="D99" i="2"/>
  <c r="E95" i="2"/>
  <c r="E319" i="2"/>
  <c r="E243" i="2"/>
  <c r="D107" i="2"/>
  <c r="E263" i="2"/>
  <c r="E72" i="2"/>
  <c r="D299" i="2"/>
  <c r="D240" i="2"/>
  <c r="D317" i="2"/>
  <c r="E85" i="2"/>
  <c r="D381" i="2"/>
  <c r="D62" i="2"/>
  <c r="D104" i="2"/>
  <c r="E392" i="2"/>
  <c r="D168" i="2"/>
  <c r="D355" i="2"/>
  <c r="D339" i="2"/>
  <c r="E132" i="2"/>
  <c r="E248" i="2"/>
  <c r="D331" i="2"/>
  <c r="D309" i="2"/>
  <c r="D129" i="2"/>
  <c r="D260" i="2"/>
  <c r="D97" i="2"/>
  <c r="E96" i="2"/>
  <c r="E67" i="2"/>
  <c r="E78" i="2"/>
  <c r="E152" i="2"/>
  <c r="D121" i="2"/>
  <c r="E365" i="2"/>
  <c r="E337" i="2"/>
  <c r="E108" i="2"/>
  <c r="D133" i="2"/>
  <c r="E371" i="2"/>
  <c r="D189" i="2"/>
  <c r="D79" i="2"/>
  <c r="E373" i="2"/>
  <c r="D150" i="2"/>
  <c r="E212" i="2"/>
  <c r="D95" i="2"/>
  <c r="E97" i="2"/>
  <c r="E351" i="2"/>
  <c r="D345" i="2"/>
  <c r="D202" i="2"/>
  <c r="D169" i="2"/>
  <c r="D372" i="2"/>
  <c r="E241" i="2"/>
  <c r="D259" i="2"/>
  <c r="E339" i="2"/>
  <c r="E273" i="2"/>
  <c r="D153" i="2"/>
  <c r="E71" i="2"/>
  <c r="E267" i="2"/>
  <c r="E59" i="2"/>
  <c r="D270" i="2"/>
  <c r="D200" i="2"/>
  <c r="E364" i="2"/>
  <c r="E155" i="2"/>
  <c r="D128" i="2"/>
  <c r="E205" i="2"/>
  <c r="E332" i="2"/>
  <c r="D296" i="2"/>
  <c r="E220" i="2"/>
  <c r="D119" i="2"/>
  <c r="D140" i="2"/>
  <c r="D392" i="2"/>
  <c r="D135" i="2"/>
  <c r="D103" i="2"/>
  <c r="D277" i="2"/>
  <c r="E382" i="2"/>
  <c r="E154" i="2"/>
  <c r="D127" i="2"/>
  <c r="D108" i="2"/>
  <c r="D346" i="2"/>
  <c r="D210" i="2"/>
  <c r="D352" i="2"/>
  <c r="D307" i="2"/>
  <c r="E329" i="2"/>
  <c r="E68" i="2"/>
  <c r="E148" i="2"/>
  <c r="D344" i="2"/>
  <c r="E231" i="2"/>
  <c r="E83" i="2"/>
  <c r="E298" i="2"/>
  <c r="D74" i="2"/>
  <c r="E142" i="2"/>
  <c r="E105" i="2"/>
  <c r="E116" i="2"/>
  <c r="D69" i="2"/>
  <c r="D147" i="2"/>
  <c r="D389" i="2"/>
  <c r="D276" i="2"/>
  <c r="E372" i="2"/>
  <c r="D239" i="2"/>
  <c r="E193" i="2"/>
  <c r="E167" i="2"/>
  <c r="E381" i="2"/>
  <c r="E60" i="2"/>
  <c r="E90" i="2"/>
  <c r="E208" i="2"/>
  <c r="D269" i="2"/>
  <c r="E376" i="2"/>
  <c r="D217" i="2"/>
  <c r="D114" i="2"/>
  <c r="E213" i="2"/>
  <c r="D370" i="2"/>
  <c r="D199" i="2"/>
  <c r="D323" i="2"/>
  <c r="E254" i="2"/>
  <c r="D361" i="2"/>
  <c r="E306" i="2"/>
  <c r="E357" i="2"/>
  <c r="E268" i="2"/>
  <c r="E232" i="2"/>
  <c r="D238" i="2"/>
  <c r="E389" i="2"/>
  <c r="D387" i="2"/>
  <c r="E257" i="2"/>
  <c r="D68" i="2"/>
  <c r="D125" i="2"/>
  <c r="E168" i="2"/>
  <c r="E195" i="2"/>
  <c r="D178" i="2"/>
  <c r="D71" i="2"/>
  <c r="D386" i="2"/>
  <c r="D195" i="2"/>
  <c r="D85" i="2"/>
  <c r="D106" i="2"/>
  <c r="D373" i="2"/>
  <c r="D63" i="2"/>
  <c r="E265" i="2"/>
  <c r="E138" i="2"/>
  <c r="D242" i="2"/>
  <c r="E120" i="2"/>
  <c r="E184" i="2"/>
  <c r="D319" i="2"/>
  <c r="D228" i="2"/>
  <c r="E150" i="2"/>
  <c r="E384" i="2"/>
  <c r="E135" i="2"/>
  <c r="D220" i="2"/>
  <c r="D196" i="2"/>
  <c r="E124" i="2"/>
  <c r="E320" i="2"/>
  <c r="E217" i="2"/>
  <c r="E79" i="2"/>
  <c r="E296" i="2"/>
  <c r="E345" i="2"/>
  <c r="D382" i="2"/>
  <c r="D118" i="2"/>
  <c r="D275" i="2"/>
  <c r="E123" i="2"/>
  <c r="E175" i="2"/>
  <c r="D391" i="2"/>
  <c r="D162" i="2"/>
  <c r="D84" i="2"/>
  <c r="E239" i="2"/>
  <c r="D312" i="2"/>
  <c r="E270" i="2"/>
  <c r="E336" i="2"/>
  <c r="D145" i="2"/>
  <c r="E102" i="2"/>
  <c r="D365" i="2"/>
  <c r="D362" i="2"/>
  <c r="D216" i="2"/>
  <c r="E199" i="2"/>
  <c r="E245" i="2"/>
  <c r="E101" i="2"/>
  <c r="E262" i="2"/>
  <c r="D294" i="2"/>
  <c r="D102" i="2"/>
  <c r="D330" i="2"/>
  <c r="D141" i="2"/>
  <c r="D286" i="2"/>
  <c r="D89" i="2"/>
  <c r="E127" i="2"/>
  <c r="E211" i="2"/>
  <c r="E197" i="2"/>
  <c r="E113" i="2"/>
  <c r="E307" i="2"/>
  <c r="E166" i="2"/>
  <c r="E272" i="2"/>
  <c r="E335" i="2"/>
  <c r="D390" i="2"/>
  <c r="E98" i="2"/>
  <c r="D366" i="2"/>
  <c r="D243" i="2"/>
  <c r="E136" i="2"/>
  <c r="E301" i="2"/>
  <c r="E115" i="2"/>
  <c r="D231" i="2"/>
  <c r="D357" i="2"/>
  <c r="E237" i="2"/>
  <c r="D369" i="2"/>
  <c r="E312" i="2"/>
  <c r="D98" i="2"/>
  <c r="E221" i="2"/>
  <c r="D190" i="2"/>
  <c r="D180" i="2"/>
  <c r="E170" i="2"/>
  <c r="D86" i="2"/>
  <c r="D353" i="2"/>
  <c r="E234" i="2"/>
  <c r="E223" i="2"/>
  <c r="E110" i="2"/>
  <c r="E126" i="2"/>
  <c r="D96" i="2"/>
  <c r="D329" i="2"/>
  <c r="D377" i="2"/>
  <c r="D335" i="2"/>
  <c r="E128" i="2"/>
  <c r="D347" i="2"/>
  <c r="D70" i="2"/>
  <c r="D90" i="2"/>
  <c r="E194" i="2"/>
  <c r="D154" i="2"/>
  <c r="D77" i="2"/>
  <c r="D332" i="2"/>
  <c r="D170" i="2"/>
  <c r="D378" i="2"/>
  <c r="E304" i="2"/>
  <c r="D278" i="2"/>
  <c r="E181" i="2"/>
  <c r="E290" i="2"/>
  <c r="D285" i="2"/>
  <c r="E191" i="2"/>
  <c r="D316" i="2"/>
  <c r="D146" i="2"/>
  <c r="D175" i="2"/>
  <c r="E81" i="2"/>
  <c r="D184" i="2"/>
  <c r="D208" i="2"/>
  <c r="D172" i="2"/>
  <c r="E360" i="2"/>
  <c r="E325" i="2"/>
  <c r="D151" i="2"/>
  <c r="D251" i="2"/>
  <c r="E341" i="2"/>
  <c r="D143" i="2"/>
  <c r="D328" i="2"/>
  <c r="E66" i="2"/>
  <c r="E190" i="2"/>
  <c r="D137" i="2"/>
  <c r="E218" i="2"/>
  <c r="E367" i="2"/>
  <c r="E89" i="2"/>
  <c r="D152" i="2"/>
  <c r="E121" i="2"/>
  <c r="E196" i="2"/>
  <c r="D326" i="2"/>
  <c r="D179" i="2"/>
  <c r="E225" i="2"/>
  <c r="D376" i="2"/>
  <c r="D93" i="2"/>
  <c r="D375" i="2"/>
  <c r="D274" i="2"/>
  <c r="D64" i="2"/>
  <c r="D308" i="2"/>
  <c r="E292" i="2"/>
  <c r="E324" i="2"/>
  <c r="D83" i="2"/>
  <c r="D209" i="2"/>
  <c r="D247" i="2"/>
  <c r="D223" i="2"/>
  <c r="E203" i="2"/>
  <c r="E165" i="2"/>
  <c r="D110" i="2"/>
  <c r="E300" i="2"/>
  <c r="D343" i="2"/>
  <c r="D342" i="2"/>
  <c r="D122" i="2"/>
  <c r="D193" i="2"/>
  <c r="D155" i="2"/>
  <c r="D380" i="2"/>
  <c r="E318" i="2"/>
  <c r="E369" i="2"/>
  <c r="D112" i="2"/>
  <c r="D236" i="2"/>
  <c r="D311" i="2"/>
  <c r="E146" i="2"/>
  <c r="E309" i="2"/>
  <c r="E374" i="2"/>
  <c r="E73" i="2"/>
  <c r="D288" i="2"/>
  <c r="E177" i="2"/>
  <c r="E131" i="2"/>
  <c r="D385" i="2"/>
  <c r="E314" i="2"/>
  <c r="D325" i="2"/>
  <c r="E65" i="2"/>
  <c r="D262" i="2"/>
  <c r="E172" i="2"/>
  <c r="E222" i="2"/>
  <c r="E280" i="2"/>
  <c r="E230" i="2"/>
  <c r="E279" i="2"/>
  <c r="D213" i="2"/>
  <c r="D78" i="2"/>
  <c r="E286" i="2"/>
  <c r="E246" i="2"/>
  <c r="E322" i="2"/>
  <c r="D271" i="2"/>
  <c r="D230" i="2"/>
  <c r="D321" i="2"/>
  <c r="D207" i="2"/>
  <c r="E139" i="2"/>
  <c r="D263" i="2"/>
  <c r="E163" i="2"/>
  <c r="E327" i="2"/>
  <c r="E202" i="2"/>
  <c r="E285" i="2"/>
  <c r="D290" i="2"/>
  <c r="D88" i="2"/>
  <c r="E331" i="2"/>
  <c r="E93" i="2"/>
  <c r="E387" i="2"/>
  <c r="D282" i="2"/>
  <c r="E393" i="2"/>
  <c r="D349" i="2"/>
  <c r="D105" i="2"/>
  <c r="D174" i="2"/>
  <c r="D253" i="2"/>
  <c r="E209" i="2"/>
  <c r="E141" i="2"/>
  <c r="E173" i="2"/>
  <c r="E87" i="2"/>
  <c r="D191" i="2"/>
  <c r="D61" i="2"/>
  <c r="E271" i="2"/>
  <c r="D320" i="2"/>
  <c r="D363" i="2"/>
  <c r="E352" i="2"/>
  <c r="E353" i="2"/>
  <c r="D219" i="2"/>
  <c r="D173" i="2"/>
  <c r="D351" i="2"/>
  <c r="E161" i="2"/>
  <c r="D198" i="2"/>
  <c r="E224" i="2"/>
  <c r="E310" i="2"/>
  <c r="D360" i="2"/>
  <c r="D94" i="2"/>
  <c r="E88" i="2"/>
  <c r="D136" i="2"/>
  <c r="D249" i="2"/>
  <c r="D303" i="2"/>
  <c r="E112" i="2"/>
  <c r="E250" i="2"/>
  <c r="D245" i="2"/>
  <c r="E86" i="2"/>
  <c r="D82" i="2"/>
  <c r="D252" i="2"/>
  <c r="D165" i="2"/>
  <c r="E159" i="2"/>
  <c r="D158" i="2"/>
  <c r="E391" i="2"/>
  <c r="E303" i="2"/>
  <c r="E129" i="2"/>
  <c r="E188" i="2"/>
  <c r="E283" i="2"/>
  <c r="D225" i="2"/>
  <c r="D59" i="2"/>
  <c r="E69" i="2"/>
  <c r="D244" i="2"/>
  <c r="E244" i="2"/>
  <c r="E278" i="2"/>
  <c r="D235" i="2"/>
  <c r="D334" i="2"/>
  <c r="E242" i="2"/>
  <c r="D116" i="2"/>
  <c r="D302" i="2"/>
  <c r="D192" i="2"/>
  <c r="D255" i="2"/>
  <c r="E343" i="2"/>
  <c r="D229" i="2"/>
  <c r="D87" i="2"/>
  <c r="D292" i="2"/>
  <c r="E63" i="2"/>
  <c r="E305" i="2"/>
  <c r="D367" i="2"/>
  <c r="E350" i="2"/>
  <c r="E76" i="2"/>
  <c r="E186" i="2"/>
  <c r="E287" i="2"/>
  <c r="E315" i="2"/>
  <c r="D371" i="2"/>
  <c r="D284" i="2"/>
  <c r="D354" i="2"/>
  <c r="D341" i="2"/>
  <c r="D379" i="2"/>
  <c r="E362" i="2"/>
  <c r="E321" i="2"/>
  <c r="E91" i="2"/>
  <c r="D336" i="2"/>
  <c r="E338" i="2"/>
  <c r="D131" i="2"/>
  <c r="E153" i="2"/>
  <c r="D144" i="2"/>
  <c r="E157" i="2"/>
  <c r="D300" i="2"/>
  <c r="D322" i="2"/>
  <c r="E361" i="2"/>
  <c r="D234" i="2"/>
  <c r="D177" i="2"/>
  <c r="E210" i="2"/>
  <c r="E215" i="2"/>
  <c r="D393" i="2"/>
  <c r="D171" i="2"/>
  <c r="D160" i="2"/>
  <c r="E363" i="2"/>
  <c r="D91" i="2"/>
  <c r="E366" i="2"/>
  <c r="D297" i="2"/>
  <c r="D222" i="2"/>
  <c r="D66" i="2"/>
  <c r="E275" i="2"/>
  <c r="D81" i="2"/>
  <c r="D58" i="2"/>
  <c r="E370" i="2"/>
  <c r="E118" i="2"/>
  <c r="E178" i="2"/>
  <c r="E109" i="2"/>
  <c r="D257" i="2"/>
  <c r="E80" i="2"/>
  <c r="E346" i="2"/>
  <c r="E252" i="2"/>
  <c r="E235" i="2"/>
  <c r="E266" i="2"/>
  <c r="D60" i="2"/>
  <c r="E356" i="2"/>
  <c r="E247" i="2"/>
  <c r="D134" i="2"/>
  <c r="D149" i="2"/>
  <c r="D384" i="2"/>
  <c r="D132" i="2"/>
  <c r="E227" i="2"/>
  <c r="D293" i="2"/>
  <c r="E201" i="2"/>
  <c r="D315" i="2"/>
  <c r="E143" i="2"/>
  <c r="E323" i="2"/>
  <c r="E380" i="2"/>
  <c r="E333" i="2"/>
  <c r="E119" i="2"/>
  <c r="D348" i="2"/>
  <c r="D232" i="2"/>
  <c r="E207" i="2"/>
  <c r="D123" i="2"/>
  <c r="E289" i="2"/>
  <c r="D157" i="2"/>
  <c r="D65" i="2"/>
  <c r="E183" i="2"/>
  <c r="E308" i="2"/>
  <c r="E200" i="2"/>
  <c r="E233" i="2"/>
  <c r="D364" i="2"/>
  <c r="E117" i="2"/>
  <c r="E313" i="2"/>
  <c r="E368" i="2"/>
  <c r="D280" i="2"/>
  <c r="E62" i="2"/>
  <c r="D101" i="2"/>
  <c r="D281" i="2"/>
  <c r="E206" i="2"/>
  <c r="D237" i="2"/>
  <c r="D301" i="2"/>
  <c r="D291" i="2"/>
  <c r="D139" i="2"/>
  <c r="E70" i="2"/>
  <c r="E348" i="2"/>
  <c r="E326" i="2"/>
  <c r="E137" i="2"/>
  <c r="C57" i="2"/>
  <c r="J57" i="2"/>
  <c r="K57" i="2" s="1"/>
  <c r="F95" i="2" l="1"/>
  <c r="G95" i="2" s="1"/>
  <c r="F159" i="2"/>
  <c r="G159" i="2" s="1"/>
  <c r="F223" i="2"/>
  <c r="G223" i="2" s="1"/>
  <c r="F287" i="2"/>
  <c r="G287" i="2" s="1"/>
  <c r="F351" i="2"/>
  <c r="G351" i="2" s="1"/>
  <c r="H351" i="2" s="1"/>
  <c r="J351" i="2" s="1"/>
  <c r="K351" i="2" s="1"/>
  <c r="F74" i="2"/>
  <c r="G74" i="2" s="1"/>
  <c r="F144" i="2"/>
  <c r="G144" i="2" s="1"/>
  <c r="H144" i="2" s="1"/>
  <c r="J144" i="2" s="1"/>
  <c r="K144" i="2" s="1"/>
  <c r="F296" i="2"/>
  <c r="G296" i="2" s="1"/>
  <c r="H296" i="2" s="1"/>
  <c r="J296" i="2" s="1"/>
  <c r="K296" i="2" s="1"/>
  <c r="F121" i="2"/>
  <c r="G121" i="2" s="1"/>
  <c r="F185" i="2"/>
  <c r="G185" i="2" s="1"/>
  <c r="F249" i="2"/>
  <c r="G249" i="2" s="1"/>
  <c r="F313" i="2"/>
  <c r="G313" i="2" s="1"/>
  <c r="F377" i="2"/>
  <c r="G377" i="2" s="1"/>
  <c r="H377" i="2" s="1"/>
  <c r="J377" i="2" s="1"/>
  <c r="K377" i="2" s="1"/>
  <c r="F92" i="2"/>
  <c r="G92" i="2" s="1"/>
  <c r="H92" i="2" s="1"/>
  <c r="J92" i="2" s="1"/>
  <c r="K92" i="2" s="1"/>
  <c r="F292" i="2"/>
  <c r="G292" i="2" s="1"/>
  <c r="H292" i="2" s="1"/>
  <c r="J292" i="2" s="1"/>
  <c r="K292" i="2" s="1"/>
  <c r="F83" i="2"/>
  <c r="G83" i="2" s="1"/>
  <c r="H83" i="2" s="1"/>
  <c r="J83" i="2" s="1"/>
  <c r="K83" i="2" s="1"/>
  <c r="F154" i="2"/>
  <c r="G154" i="2" s="1"/>
  <c r="F218" i="2"/>
  <c r="G218" i="2" s="1"/>
  <c r="F282" i="2"/>
  <c r="G282" i="2" s="1"/>
  <c r="F346" i="2"/>
  <c r="G346" i="2" s="1"/>
  <c r="F61" i="2"/>
  <c r="G61" i="2" s="1"/>
  <c r="H61" i="2" s="1"/>
  <c r="J61" i="2" s="1"/>
  <c r="K61" i="2" s="1"/>
  <c r="F188" i="2"/>
  <c r="G188" i="2" s="1"/>
  <c r="H188" i="2" s="1"/>
  <c r="J188" i="2" s="1"/>
  <c r="K188" i="2" s="1"/>
  <c r="F364" i="2"/>
  <c r="G364" i="2" s="1"/>
  <c r="H364" i="2" s="1"/>
  <c r="J364" i="2" s="1"/>
  <c r="K364" i="2" s="1"/>
  <c r="F107" i="2"/>
  <c r="G107" i="2" s="1"/>
  <c r="H107" i="2" s="1"/>
  <c r="J107" i="2" s="1"/>
  <c r="K107" i="2" s="1"/>
  <c r="F171" i="2"/>
  <c r="G171" i="2" s="1"/>
  <c r="F235" i="2"/>
  <c r="G235" i="2" s="1"/>
  <c r="F299" i="2"/>
  <c r="G299" i="2" s="1"/>
  <c r="F363" i="2"/>
  <c r="G363" i="2" s="1"/>
  <c r="F78" i="2"/>
  <c r="G78" i="2" s="1"/>
  <c r="H78" i="2" s="1"/>
  <c r="J78" i="2" s="1"/>
  <c r="K78" i="2" s="1"/>
  <c r="F276" i="2"/>
  <c r="G276" i="2" s="1"/>
  <c r="F392" i="2"/>
  <c r="G392" i="2" s="1"/>
  <c r="H392" i="2" s="1"/>
  <c r="J392" i="2" s="1"/>
  <c r="K392" i="2" s="1"/>
  <c r="F141" i="2"/>
  <c r="G141" i="2" s="1"/>
  <c r="H141" i="2" s="1"/>
  <c r="J141" i="2" s="1"/>
  <c r="K141" i="2" s="1"/>
  <c r="F205" i="2"/>
  <c r="G205" i="2" s="1"/>
  <c r="F269" i="2"/>
  <c r="G269" i="2" s="1"/>
  <c r="F333" i="2"/>
  <c r="G333" i="2" s="1"/>
  <c r="F160" i="2"/>
  <c r="G160" i="2" s="1"/>
  <c r="H160" i="2" s="1"/>
  <c r="J160" i="2" s="1"/>
  <c r="K160" i="2" s="1"/>
  <c r="F360" i="2"/>
  <c r="G360" i="2" s="1"/>
  <c r="H360" i="2" s="1"/>
  <c r="J360" i="2" s="1"/>
  <c r="K360" i="2" s="1"/>
  <c r="F150" i="2"/>
  <c r="G150" i="2" s="1"/>
  <c r="F214" i="2"/>
  <c r="G214" i="2" s="1"/>
  <c r="H214" i="2" s="1"/>
  <c r="J214" i="2" s="1"/>
  <c r="K214" i="2" s="1"/>
  <c r="F278" i="2"/>
  <c r="G278" i="2" s="1"/>
  <c r="H278" i="2" s="1"/>
  <c r="J278" i="2" s="1"/>
  <c r="K278" i="2" s="1"/>
  <c r="F342" i="2"/>
  <c r="G342" i="2" s="1"/>
  <c r="F89" i="2"/>
  <c r="G89" i="2" s="1"/>
  <c r="H89" i="2" s="1"/>
  <c r="J89" i="2" s="1"/>
  <c r="K89" i="2" s="1"/>
  <c r="F158" i="2"/>
  <c r="G158" i="2" s="1"/>
  <c r="F192" i="2"/>
  <c r="G192" i="2" s="1"/>
  <c r="F103" i="2"/>
  <c r="G103" i="2" s="1"/>
  <c r="H103" i="2" s="1"/>
  <c r="J103" i="2" s="1"/>
  <c r="K103" i="2" s="1"/>
  <c r="F167" i="2"/>
  <c r="G167" i="2" s="1"/>
  <c r="H167" i="2" s="1"/>
  <c r="J167" i="2" s="1"/>
  <c r="K167" i="2" s="1"/>
  <c r="F231" i="2"/>
  <c r="G231" i="2" s="1"/>
  <c r="H231" i="2" s="1"/>
  <c r="J231" i="2" s="1"/>
  <c r="K231" i="2" s="1"/>
  <c r="F295" i="2"/>
  <c r="G295" i="2" s="1"/>
  <c r="H295" i="2" s="1"/>
  <c r="J295" i="2" s="1"/>
  <c r="K295" i="2" s="1"/>
  <c r="F359" i="2"/>
  <c r="G359" i="2" s="1"/>
  <c r="F82" i="2"/>
  <c r="G82" i="2" s="1"/>
  <c r="H82" i="2" s="1"/>
  <c r="J82" i="2" s="1"/>
  <c r="K82" i="2" s="1"/>
  <c r="F152" i="2"/>
  <c r="G152" i="2" s="1"/>
  <c r="F320" i="2"/>
  <c r="G320" i="2" s="1"/>
  <c r="F129" i="2"/>
  <c r="G129" i="2" s="1"/>
  <c r="H129" i="2" s="1"/>
  <c r="J129" i="2" s="1"/>
  <c r="K129" i="2" s="1"/>
  <c r="F193" i="2"/>
  <c r="G193" i="2" s="1"/>
  <c r="F257" i="2"/>
  <c r="G257" i="2" s="1"/>
  <c r="H257" i="2" s="1"/>
  <c r="J257" i="2" s="1"/>
  <c r="K257" i="2" s="1"/>
  <c r="F321" i="2"/>
  <c r="G321" i="2" s="1"/>
  <c r="H321" i="2" s="1"/>
  <c r="J321" i="2" s="1"/>
  <c r="K321" i="2" s="1"/>
  <c r="F385" i="2"/>
  <c r="G385" i="2" s="1"/>
  <c r="F116" i="2"/>
  <c r="G116" i="2" s="1"/>
  <c r="H116" i="2" s="1"/>
  <c r="J116" i="2" s="1"/>
  <c r="K116" i="2" s="1"/>
  <c r="F324" i="2"/>
  <c r="G324" i="2" s="1"/>
  <c r="F98" i="2"/>
  <c r="G98" i="2" s="1"/>
  <c r="F162" i="2"/>
  <c r="G162" i="2" s="1"/>
  <c r="H162" i="2" s="1"/>
  <c r="J162" i="2" s="1"/>
  <c r="K162" i="2" s="1"/>
  <c r="F226" i="2"/>
  <c r="G226" i="2" s="1"/>
  <c r="F290" i="2"/>
  <c r="G290" i="2" s="1"/>
  <c r="H290" i="2" s="1"/>
  <c r="J290" i="2" s="1"/>
  <c r="K290" i="2" s="1"/>
  <c r="F354" i="2"/>
  <c r="G354" i="2" s="1"/>
  <c r="H354" i="2" s="1"/>
  <c r="J354" i="2" s="1"/>
  <c r="K354" i="2" s="1"/>
  <c r="F69" i="2"/>
  <c r="G69" i="2" s="1"/>
  <c r="F212" i="2"/>
  <c r="G212" i="2" s="1"/>
  <c r="H212" i="2" s="1"/>
  <c r="J212" i="2" s="1"/>
  <c r="K212" i="2" s="1"/>
  <c r="F388" i="2"/>
  <c r="G388" i="2" s="1"/>
  <c r="F115" i="2"/>
  <c r="G115" i="2" s="1"/>
  <c r="F179" i="2"/>
  <c r="G179" i="2" s="1"/>
  <c r="H179" i="2" s="1"/>
  <c r="J179" i="2" s="1"/>
  <c r="K179" i="2" s="1"/>
  <c r="F243" i="2"/>
  <c r="G243" i="2" s="1"/>
  <c r="F307" i="2"/>
  <c r="G307" i="2" s="1"/>
  <c r="H307" i="2" s="1"/>
  <c r="J307" i="2" s="1"/>
  <c r="K307" i="2" s="1"/>
  <c r="F371" i="2"/>
  <c r="G371" i="2" s="1"/>
  <c r="H371" i="2" s="1"/>
  <c r="J371" i="2" s="1"/>
  <c r="K371" i="2" s="1"/>
  <c r="F86" i="2"/>
  <c r="G86" i="2" s="1"/>
  <c r="F300" i="2"/>
  <c r="G300" i="2" s="1"/>
  <c r="F91" i="2"/>
  <c r="G91" i="2" s="1"/>
  <c r="F149" i="2"/>
  <c r="G149" i="2" s="1"/>
  <c r="F213" i="2"/>
  <c r="G213" i="2" s="1"/>
  <c r="H213" i="2" s="1"/>
  <c r="J213" i="2" s="1"/>
  <c r="K213" i="2" s="1"/>
  <c r="F277" i="2"/>
  <c r="G277" i="2" s="1"/>
  <c r="H277" i="2" s="1"/>
  <c r="J277" i="2" s="1"/>
  <c r="K277" i="2" s="1"/>
  <c r="F341" i="2"/>
  <c r="G341" i="2" s="1"/>
  <c r="H341" i="2" s="1"/>
  <c r="J341" i="2" s="1"/>
  <c r="K341" i="2" s="1"/>
  <c r="F64" i="2"/>
  <c r="G64" i="2" s="1"/>
  <c r="H64" i="2" s="1"/>
  <c r="J64" i="2" s="1"/>
  <c r="K64" i="2" s="1"/>
  <c r="F222" i="2"/>
  <c r="G222" i="2" s="1"/>
  <c r="F111" i="2"/>
  <c r="G111" i="2" s="1"/>
  <c r="H111" i="2" s="1"/>
  <c r="J111" i="2" s="1"/>
  <c r="K111" i="2" s="1"/>
  <c r="F175" i="2"/>
  <c r="G175" i="2" s="1"/>
  <c r="F239" i="2"/>
  <c r="G239" i="2" s="1"/>
  <c r="F303" i="2"/>
  <c r="G303" i="2" s="1"/>
  <c r="H303" i="2" s="1"/>
  <c r="J303" i="2" s="1"/>
  <c r="K303" i="2" s="1"/>
  <c r="F367" i="2"/>
  <c r="G367" i="2" s="1"/>
  <c r="H367" i="2" s="1"/>
  <c r="J367" i="2" s="1"/>
  <c r="K367" i="2" s="1"/>
  <c r="F90" i="2"/>
  <c r="G90" i="2" s="1"/>
  <c r="H90" i="2" s="1"/>
  <c r="J90" i="2" s="1"/>
  <c r="K90" i="2" s="1"/>
  <c r="F168" i="2"/>
  <c r="G168" i="2" s="1"/>
  <c r="H168" i="2" s="1"/>
  <c r="J168" i="2" s="1"/>
  <c r="K168" i="2" s="1"/>
  <c r="F368" i="2"/>
  <c r="G368" i="2" s="1"/>
  <c r="F137" i="2"/>
  <c r="G137" i="2" s="1"/>
  <c r="H137" i="2" s="1"/>
  <c r="J137" i="2" s="1"/>
  <c r="K137" i="2" s="1"/>
  <c r="F201" i="2"/>
  <c r="G201" i="2" s="1"/>
  <c r="F265" i="2"/>
  <c r="G265" i="2" s="1"/>
  <c r="F329" i="2"/>
  <c r="G329" i="2" s="1"/>
  <c r="H329" i="2" s="1"/>
  <c r="J329" i="2" s="1"/>
  <c r="K329" i="2" s="1"/>
  <c r="F393" i="2"/>
  <c r="G393" i="2" s="1"/>
  <c r="F140" i="2"/>
  <c r="G140" i="2" s="1"/>
  <c r="H140" i="2" s="1"/>
  <c r="J140" i="2" s="1"/>
  <c r="K140" i="2" s="1"/>
  <c r="F348" i="2"/>
  <c r="G348" i="2" s="1"/>
  <c r="H348" i="2" s="1"/>
  <c r="J348" i="2" s="1"/>
  <c r="K348" i="2" s="1"/>
  <c r="F106" i="2"/>
  <c r="G106" i="2" s="1"/>
  <c r="F170" i="2"/>
  <c r="G170" i="2" s="1"/>
  <c r="H170" i="2" s="1"/>
  <c r="J170" i="2" s="1"/>
  <c r="K170" i="2" s="1"/>
  <c r="F234" i="2"/>
  <c r="G234" i="2" s="1"/>
  <c r="F298" i="2"/>
  <c r="G298" i="2" s="1"/>
  <c r="F362" i="2"/>
  <c r="G362" i="2" s="1"/>
  <c r="H362" i="2" s="1"/>
  <c r="J362" i="2" s="1"/>
  <c r="K362" i="2" s="1"/>
  <c r="F77" i="2"/>
  <c r="G77" i="2" s="1"/>
  <c r="H77" i="2" s="1"/>
  <c r="J77" i="2" s="1"/>
  <c r="K77" i="2" s="1"/>
  <c r="F236" i="2"/>
  <c r="G236" i="2" s="1"/>
  <c r="H236" i="2" s="1"/>
  <c r="J236" i="2" s="1"/>
  <c r="K236" i="2" s="1"/>
  <c r="F63" i="2"/>
  <c r="G63" i="2" s="1"/>
  <c r="H63" i="2" s="1"/>
  <c r="J63" i="2" s="1"/>
  <c r="K63" i="2" s="1"/>
  <c r="F123" i="2"/>
  <c r="G123" i="2" s="1"/>
  <c r="F187" i="2"/>
  <c r="G187" i="2" s="1"/>
  <c r="F251" i="2"/>
  <c r="G251" i="2" s="1"/>
  <c r="F315" i="2"/>
  <c r="G315" i="2" s="1"/>
  <c r="F379" i="2"/>
  <c r="G379" i="2" s="1"/>
  <c r="H379" i="2" s="1"/>
  <c r="J379" i="2" s="1"/>
  <c r="K379" i="2" s="1"/>
  <c r="F124" i="2"/>
  <c r="G124" i="2" s="1"/>
  <c r="H124" i="2" s="1"/>
  <c r="J124" i="2" s="1"/>
  <c r="K124" i="2" s="1"/>
  <c r="F332" i="2"/>
  <c r="G332" i="2" s="1"/>
  <c r="H332" i="2" s="1"/>
  <c r="J332" i="2" s="1"/>
  <c r="K332" i="2" s="1"/>
  <c r="F100" i="2"/>
  <c r="G100" i="2" s="1"/>
  <c r="H100" i="2" s="1"/>
  <c r="J100" i="2" s="1"/>
  <c r="K100" i="2" s="1"/>
  <c r="F157" i="2"/>
  <c r="G157" i="2" s="1"/>
  <c r="F221" i="2"/>
  <c r="G221" i="2" s="1"/>
  <c r="F285" i="2"/>
  <c r="G285" i="2" s="1"/>
  <c r="F349" i="2"/>
  <c r="G349" i="2" s="1"/>
  <c r="F72" i="2"/>
  <c r="G72" i="2" s="1"/>
  <c r="H72" i="2" s="1"/>
  <c r="J72" i="2" s="1"/>
  <c r="K72" i="2" s="1"/>
  <c r="F200" i="2"/>
  <c r="G200" i="2" s="1"/>
  <c r="H200" i="2" s="1"/>
  <c r="J200" i="2" s="1"/>
  <c r="K200" i="2" s="1"/>
  <c r="F102" i="2"/>
  <c r="G102" i="2" s="1"/>
  <c r="H102" i="2" s="1"/>
  <c r="J102" i="2" s="1"/>
  <c r="K102" i="2" s="1"/>
  <c r="F166" i="2"/>
  <c r="G166" i="2" s="1"/>
  <c r="H166" i="2" s="1"/>
  <c r="J166" i="2" s="1"/>
  <c r="K166" i="2" s="1"/>
  <c r="F230" i="2"/>
  <c r="G230" i="2" s="1"/>
  <c r="F294" i="2"/>
  <c r="G294" i="2" s="1"/>
  <c r="F358" i="2"/>
  <c r="G358" i="2" s="1"/>
  <c r="F232" i="2"/>
  <c r="G232" i="2" s="1"/>
  <c r="F190" i="2"/>
  <c r="G190" i="2" s="1"/>
  <c r="H190" i="2" s="1"/>
  <c r="J190" i="2" s="1"/>
  <c r="K190" i="2" s="1"/>
  <c r="F382" i="2"/>
  <c r="G382" i="2" s="1"/>
  <c r="H382" i="2" s="1"/>
  <c r="J382" i="2" s="1"/>
  <c r="K382" i="2" s="1"/>
  <c r="F119" i="2"/>
  <c r="G119" i="2" s="1"/>
  <c r="H119" i="2" s="1"/>
  <c r="J119" i="2" s="1"/>
  <c r="K119" i="2" s="1"/>
  <c r="F183" i="2"/>
  <c r="G183" i="2" s="1"/>
  <c r="H183" i="2" s="1"/>
  <c r="J183" i="2" s="1"/>
  <c r="K183" i="2" s="1"/>
  <c r="F247" i="2"/>
  <c r="G247" i="2" s="1"/>
  <c r="F311" i="2"/>
  <c r="G311" i="2" s="1"/>
  <c r="H311" i="2" s="1"/>
  <c r="J311" i="2" s="1"/>
  <c r="K311" i="2" s="1"/>
  <c r="F375" i="2"/>
  <c r="G375" i="2" s="1"/>
  <c r="F104" i="2"/>
  <c r="G104" i="2" s="1"/>
  <c r="H104" i="2" s="1"/>
  <c r="J104" i="2" s="1"/>
  <c r="K104" i="2" s="1"/>
  <c r="F184" i="2"/>
  <c r="G184" i="2" s="1"/>
  <c r="H184" i="2" s="1"/>
  <c r="J184" i="2" s="1"/>
  <c r="K184" i="2" s="1"/>
  <c r="F67" i="2"/>
  <c r="G67" i="2" s="1"/>
  <c r="H67" i="2" s="1"/>
  <c r="J67" i="2" s="1"/>
  <c r="K67" i="2" s="1"/>
  <c r="F145" i="2"/>
  <c r="G145" i="2" s="1"/>
  <c r="H145" i="2" s="1"/>
  <c r="J145" i="2" s="1"/>
  <c r="K145" i="2" s="1"/>
  <c r="F209" i="2"/>
  <c r="G209" i="2" s="1"/>
  <c r="H209" i="2" s="1"/>
  <c r="J209" i="2" s="1"/>
  <c r="K209" i="2" s="1"/>
  <c r="F273" i="2"/>
  <c r="G273" i="2" s="1"/>
  <c r="F337" i="2"/>
  <c r="G337" i="2" s="1"/>
  <c r="F164" i="2"/>
  <c r="G164" i="2" s="1"/>
  <c r="F372" i="2"/>
  <c r="G372" i="2" s="1"/>
  <c r="F114" i="2"/>
  <c r="G114" i="2" s="1"/>
  <c r="H114" i="2" s="1"/>
  <c r="J114" i="2" s="1"/>
  <c r="K114" i="2" s="1"/>
  <c r="F178" i="2"/>
  <c r="G178" i="2" s="1"/>
  <c r="H178" i="2" s="1"/>
  <c r="J178" i="2" s="1"/>
  <c r="K178" i="2" s="1"/>
  <c r="F242" i="2"/>
  <c r="G242" i="2" s="1"/>
  <c r="H242" i="2" s="1"/>
  <c r="J242" i="2" s="1"/>
  <c r="K242" i="2" s="1"/>
  <c r="F306" i="2"/>
  <c r="G306" i="2" s="1"/>
  <c r="H306" i="2" s="1"/>
  <c r="J306" i="2" s="1"/>
  <c r="K306" i="2" s="1"/>
  <c r="F370" i="2"/>
  <c r="G370" i="2" s="1"/>
  <c r="F85" i="2"/>
  <c r="G85" i="2" s="1"/>
  <c r="H85" i="2" s="1"/>
  <c r="J85" i="2" s="1"/>
  <c r="K85" i="2" s="1"/>
  <c r="F260" i="2"/>
  <c r="G260" i="2" s="1"/>
  <c r="F79" i="2"/>
  <c r="G79" i="2" s="1"/>
  <c r="F131" i="2"/>
  <c r="G131" i="2" s="1"/>
  <c r="H131" i="2" s="1"/>
  <c r="J131" i="2" s="1"/>
  <c r="K131" i="2" s="1"/>
  <c r="F195" i="2"/>
  <c r="G195" i="2" s="1"/>
  <c r="H195" i="2" s="1"/>
  <c r="J195" i="2" s="1"/>
  <c r="K195" i="2" s="1"/>
  <c r="F259" i="2"/>
  <c r="G259" i="2" s="1"/>
  <c r="H259" i="2" s="1"/>
  <c r="J259" i="2" s="1"/>
  <c r="K259" i="2" s="1"/>
  <c r="F323" i="2"/>
  <c r="G323" i="2" s="1"/>
  <c r="H323" i="2" s="1"/>
  <c r="J323" i="2" s="1"/>
  <c r="K323" i="2" s="1"/>
  <c r="F387" i="2"/>
  <c r="G387" i="2" s="1"/>
  <c r="F148" i="2"/>
  <c r="G148" i="2" s="1"/>
  <c r="H148" i="2" s="1"/>
  <c r="J148" i="2" s="1"/>
  <c r="K148" i="2" s="1"/>
  <c r="F356" i="2"/>
  <c r="G356" i="2" s="1"/>
  <c r="F101" i="2"/>
  <c r="G101" i="2" s="1"/>
  <c r="H101" i="2" s="1"/>
  <c r="J101" i="2" s="1"/>
  <c r="K101" i="2" s="1"/>
  <c r="F165" i="2"/>
  <c r="G165" i="2" s="1"/>
  <c r="H165" i="2" s="1"/>
  <c r="J165" i="2" s="1"/>
  <c r="K165" i="2" s="1"/>
  <c r="F229" i="2"/>
  <c r="G229" i="2" s="1"/>
  <c r="H229" i="2" s="1"/>
  <c r="J229" i="2" s="1"/>
  <c r="K229" i="2" s="1"/>
  <c r="F293" i="2"/>
  <c r="G293" i="2" s="1"/>
  <c r="H293" i="2" s="1"/>
  <c r="J293" i="2" s="1"/>
  <c r="K293" i="2" s="1"/>
  <c r="F357" i="2"/>
  <c r="G357" i="2" s="1"/>
  <c r="H357" i="2" s="1"/>
  <c r="J357" i="2" s="1"/>
  <c r="K357" i="2" s="1"/>
  <c r="F80" i="2"/>
  <c r="G80" i="2" s="1"/>
  <c r="F216" i="2"/>
  <c r="G216" i="2" s="1"/>
  <c r="H216" i="2" s="1"/>
  <c r="J216" i="2" s="1"/>
  <c r="K216" i="2" s="1"/>
  <c r="F110" i="2"/>
  <c r="G110" i="2" s="1"/>
  <c r="F174" i="2"/>
  <c r="G174" i="2" s="1"/>
  <c r="H174" i="2" s="1"/>
  <c r="J174" i="2" s="1"/>
  <c r="K174" i="2" s="1"/>
  <c r="F238" i="2"/>
  <c r="G238" i="2" s="1"/>
  <c r="H238" i="2" s="1"/>
  <c r="J238" i="2" s="1"/>
  <c r="K238" i="2" s="1"/>
  <c r="F302" i="2"/>
  <c r="G302" i="2" s="1"/>
  <c r="H302" i="2" s="1"/>
  <c r="J302" i="2" s="1"/>
  <c r="K302" i="2" s="1"/>
  <c r="F366" i="2"/>
  <c r="G366" i="2" s="1"/>
  <c r="H366" i="2" s="1"/>
  <c r="J366" i="2" s="1"/>
  <c r="K366" i="2" s="1"/>
  <c r="F256" i="2"/>
  <c r="G256" i="2" s="1"/>
  <c r="H256" i="2" s="1"/>
  <c r="J256" i="2" s="1"/>
  <c r="K256" i="2" s="1"/>
  <c r="F390" i="2"/>
  <c r="G390" i="2" s="1"/>
  <c r="F254" i="2"/>
  <c r="G254" i="2" s="1"/>
  <c r="H254" i="2" s="1"/>
  <c r="J254" i="2" s="1"/>
  <c r="K254" i="2" s="1"/>
  <c r="F127" i="2"/>
  <c r="G127" i="2" s="1"/>
  <c r="F191" i="2"/>
  <c r="G191" i="2" s="1"/>
  <c r="H191" i="2" s="1"/>
  <c r="J191" i="2" s="1"/>
  <c r="K191" i="2" s="1"/>
  <c r="F255" i="2"/>
  <c r="G255" i="2" s="1"/>
  <c r="H255" i="2" s="1"/>
  <c r="J255" i="2" s="1"/>
  <c r="K255" i="2" s="1"/>
  <c r="F319" i="2"/>
  <c r="G319" i="2" s="1"/>
  <c r="H319" i="2" s="1"/>
  <c r="J319" i="2" s="1"/>
  <c r="K319" i="2" s="1"/>
  <c r="F383" i="2"/>
  <c r="G383" i="2" s="1"/>
  <c r="H383" i="2" s="1"/>
  <c r="J383" i="2" s="1"/>
  <c r="K383" i="2" s="1"/>
  <c r="F112" i="2"/>
  <c r="G112" i="2" s="1"/>
  <c r="H112" i="2" s="1"/>
  <c r="J112" i="2" s="1"/>
  <c r="K112" i="2" s="1"/>
  <c r="F208" i="2"/>
  <c r="G208" i="2" s="1"/>
  <c r="F96" i="2"/>
  <c r="G96" i="2" s="1"/>
  <c r="H96" i="2" s="1"/>
  <c r="J96" i="2" s="1"/>
  <c r="K96" i="2" s="1"/>
  <c r="F153" i="2"/>
  <c r="G153" i="2" s="1"/>
  <c r="F217" i="2"/>
  <c r="G217" i="2" s="1"/>
  <c r="F281" i="2"/>
  <c r="G281" i="2" s="1"/>
  <c r="H281" i="2" s="1"/>
  <c r="J281" i="2" s="1"/>
  <c r="K281" i="2" s="1"/>
  <c r="F345" i="2"/>
  <c r="G345" i="2" s="1"/>
  <c r="H345" i="2" s="1"/>
  <c r="J345" i="2" s="1"/>
  <c r="K345" i="2" s="1"/>
  <c r="F60" i="2"/>
  <c r="G60" i="2" s="1"/>
  <c r="H60" i="2" s="1"/>
  <c r="J60" i="2" s="1"/>
  <c r="K60" i="2" s="1"/>
  <c r="F196" i="2"/>
  <c r="G196" i="2" s="1"/>
  <c r="H196" i="2" s="1"/>
  <c r="J196" i="2" s="1"/>
  <c r="K196" i="2" s="1"/>
  <c r="F87" i="2"/>
  <c r="G87" i="2" s="1"/>
  <c r="F122" i="2"/>
  <c r="G122" i="2" s="1"/>
  <c r="H122" i="2" s="1"/>
  <c r="J122" i="2" s="1"/>
  <c r="K122" i="2" s="1"/>
  <c r="F186" i="2"/>
  <c r="G186" i="2" s="1"/>
  <c r="F250" i="2"/>
  <c r="G250" i="2" s="1"/>
  <c r="F314" i="2"/>
  <c r="G314" i="2" s="1"/>
  <c r="H314" i="2" s="1"/>
  <c r="J314" i="2" s="1"/>
  <c r="K314" i="2" s="1"/>
  <c r="F378" i="2"/>
  <c r="G378" i="2" s="1"/>
  <c r="H378" i="2" s="1"/>
  <c r="J378" i="2" s="1"/>
  <c r="K378" i="2" s="1"/>
  <c r="F108" i="2"/>
  <c r="G108" i="2" s="1"/>
  <c r="H108" i="2" s="1"/>
  <c r="J108" i="2" s="1"/>
  <c r="K108" i="2" s="1"/>
  <c r="F284" i="2"/>
  <c r="G284" i="2" s="1"/>
  <c r="H284" i="2" s="1"/>
  <c r="J284" i="2" s="1"/>
  <c r="K284" i="2" s="1"/>
  <c r="F352" i="2"/>
  <c r="G352" i="2" s="1"/>
  <c r="F139" i="2"/>
  <c r="G139" i="2" s="1"/>
  <c r="H139" i="2" s="1"/>
  <c r="J139" i="2" s="1"/>
  <c r="K139" i="2" s="1"/>
  <c r="F203" i="2"/>
  <c r="G203" i="2" s="1"/>
  <c r="F267" i="2"/>
  <c r="G267" i="2" s="1"/>
  <c r="F331" i="2"/>
  <c r="G331" i="2" s="1"/>
  <c r="F93" i="2"/>
  <c r="G93" i="2" s="1"/>
  <c r="H93" i="2" s="1"/>
  <c r="J93" i="2" s="1"/>
  <c r="K93" i="2" s="1"/>
  <c r="F180" i="2"/>
  <c r="G180" i="2" s="1"/>
  <c r="H180" i="2" s="1"/>
  <c r="J180" i="2" s="1"/>
  <c r="K180" i="2" s="1"/>
  <c r="F380" i="2"/>
  <c r="G380" i="2" s="1"/>
  <c r="H380" i="2" s="1"/>
  <c r="J380" i="2" s="1"/>
  <c r="K380" i="2" s="1"/>
  <c r="F109" i="2"/>
  <c r="G109" i="2" s="1"/>
  <c r="H109" i="2" s="1"/>
  <c r="J109" i="2" s="1"/>
  <c r="K109" i="2" s="1"/>
  <c r="F173" i="2"/>
  <c r="G173" i="2" s="1"/>
  <c r="H173" i="2" s="1"/>
  <c r="J173" i="2" s="1"/>
  <c r="K173" i="2" s="1"/>
  <c r="F237" i="2"/>
  <c r="G237" i="2" s="1"/>
  <c r="F301" i="2"/>
  <c r="G301" i="2" s="1"/>
  <c r="F365" i="2"/>
  <c r="G365" i="2" s="1"/>
  <c r="H365" i="2" s="1"/>
  <c r="J365" i="2" s="1"/>
  <c r="K365" i="2" s="1"/>
  <c r="F88" i="2"/>
  <c r="G88" i="2" s="1"/>
  <c r="H88" i="2" s="1"/>
  <c r="J88" i="2" s="1"/>
  <c r="K88" i="2" s="1"/>
  <c r="F240" i="2"/>
  <c r="G240" i="2" s="1"/>
  <c r="H240" i="2" s="1"/>
  <c r="J240" i="2" s="1"/>
  <c r="K240" i="2" s="1"/>
  <c r="F118" i="2"/>
  <c r="G118" i="2" s="1"/>
  <c r="H118" i="2" s="1"/>
  <c r="J118" i="2" s="1"/>
  <c r="K118" i="2" s="1"/>
  <c r="F182" i="2"/>
  <c r="G182" i="2" s="1"/>
  <c r="F246" i="2"/>
  <c r="G246" i="2" s="1"/>
  <c r="H246" i="2" s="1"/>
  <c r="J246" i="2" s="1"/>
  <c r="K246" i="2" s="1"/>
  <c r="F310" i="2"/>
  <c r="G310" i="2" s="1"/>
  <c r="F374" i="2"/>
  <c r="G374" i="2" s="1"/>
  <c r="F280" i="2"/>
  <c r="G280" i="2" s="1"/>
  <c r="H280" i="2" s="1"/>
  <c r="J280" i="2" s="1"/>
  <c r="K280" i="2" s="1"/>
  <c r="F126" i="2"/>
  <c r="G126" i="2" s="1"/>
  <c r="H126" i="2" s="1"/>
  <c r="J126" i="2" s="1"/>
  <c r="K126" i="2" s="1"/>
  <c r="F328" i="2"/>
  <c r="G328" i="2" s="1"/>
  <c r="H328" i="2" s="1"/>
  <c r="J328" i="2" s="1"/>
  <c r="K328" i="2" s="1"/>
  <c r="F135" i="2"/>
  <c r="G135" i="2" s="1"/>
  <c r="H135" i="2" s="1"/>
  <c r="J135" i="2" s="1"/>
  <c r="K135" i="2" s="1"/>
  <c r="F199" i="2"/>
  <c r="G199" i="2" s="1"/>
  <c r="H199" i="2" s="1"/>
  <c r="J199" i="2" s="1"/>
  <c r="K199" i="2" s="1"/>
  <c r="F263" i="2"/>
  <c r="G263" i="2" s="1"/>
  <c r="H263" i="2" s="1"/>
  <c r="J263" i="2" s="1"/>
  <c r="K263" i="2" s="1"/>
  <c r="F327" i="2"/>
  <c r="G327" i="2" s="1"/>
  <c r="F391" i="2"/>
  <c r="G391" i="2" s="1"/>
  <c r="F120" i="2"/>
  <c r="G120" i="2" s="1"/>
  <c r="H120" i="2" s="1"/>
  <c r="J120" i="2" s="1"/>
  <c r="K120" i="2" s="1"/>
  <c r="F224" i="2"/>
  <c r="G224" i="2" s="1"/>
  <c r="H224" i="2" s="1"/>
  <c r="J224" i="2" s="1"/>
  <c r="K224" i="2" s="1"/>
  <c r="F97" i="2"/>
  <c r="G97" i="2" s="1"/>
  <c r="H97" i="2" s="1"/>
  <c r="J97" i="2" s="1"/>
  <c r="K97" i="2" s="1"/>
  <c r="F161" i="2"/>
  <c r="G161" i="2" s="1"/>
  <c r="H161" i="2" s="1"/>
  <c r="J161" i="2" s="1"/>
  <c r="K161" i="2" s="1"/>
  <c r="F225" i="2"/>
  <c r="G225" i="2" s="1"/>
  <c r="F289" i="2"/>
  <c r="G289" i="2" s="1"/>
  <c r="H289" i="2" s="1"/>
  <c r="J289" i="2" s="1"/>
  <c r="K289" i="2" s="1"/>
  <c r="F353" i="2"/>
  <c r="G353" i="2" s="1"/>
  <c r="F68" i="2"/>
  <c r="G68" i="2" s="1"/>
  <c r="H68" i="2" s="1"/>
  <c r="J68" i="2" s="1"/>
  <c r="K68" i="2" s="1"/>
  <c r="F220" i="2"/>
  <c r="G220" i="2" s="1"/>
  <c r="H220" i="2" s="1"/>
  <c r="J220" i="2" s="1"/>
  <c r="K220" i="2" s="1"/>
  <c r="F304" i="2"/>
  <c r="G304" i="2" s="1"/>
  <c r="H304" i="2" s="1"/>
  <c r="J304" i="2" s="1"/>
  <c r="K304" i="2" s="1"/>
  <c r="F130" i="2"/>
  <c r="G130" i="2" s="1"/>
  <c r="H130" i="2" s="1"/>
  <c r="J130" i="2" s="1"/>
  <c r="K130" i="2" s="1"/>
  <c r="F194" i="2"/>
  <c r="G194" i="2" s="1"/>
  <c r="H194" i="2" s="1"/>
  <c r="J194" i="2" s="1"/>
  <c r="K194" i="2" s="1"/>
  <c r="F258" i="2"/>
  <c r="G258" i="2" s="1"/>
  <c r="F322" i="2"/>
  <c r="G322" i="2" s="1"/>
  <c r="H322" i="2" s="1"/>
  <c r="J322" i="2" s="1"/>
  <c r="K322" i="2" s="1"/>
  <c r="F386" i="2"/>
  <c r="G386" i="2" s="1"/>
  <c r="F132" i="2"/>
  <c r="G132" i="2" s="1"/>
  <c r="F308" i="2"/>
  <c r="G308" i="2" s="1"/>
  <c r="H308" i="2" s="1"/>
  <c r="J308" i="2" s="1"/>
  <c r="K308" i="2" s="1"/>
  <c r="F376" i="2"/>
  <c r="G376" i="2" s="1"/>
  <c r="H376" i="2" s="1"/>
  <c r="J376" i="2" s="1"/>
  <c r="K376" i="2" s="1"/>
  <c r="F147" i="2"/>
  <c r="G147" i="2" s="1"/>
  <c r="H147" i="2" s="1"/>
  <c r="J147" i="2" s="1"/>
  <c r="K147" i="2" s="1"/>
  <c r="F211" i="2"/>
  <c r="G211" i="2" s="1"/>
  <c r="H211" i="2" s="1"/>
  <c r="J211" i="2" s="1"/>
  <c r="K211" i="2" s="1"/>
  <c r="F275" i="2"/>
  <c r="G275" i="2" s="1"/>
  <c r="H275" i="2" s="1"/>
  <c r="J275" i="2" s="1"/>
  <c r="K275" i="2" s="1"/>
  <c r="F339" i="2"/>
  <c r="G339" i="2" s="1"/>
  <c r="H339" i="2" s="1"/>
  <c r="J339" i="2" s="1"/>
  <c r="K339" i="2" s="1"/>
  <c r="F204" i="2"/>
  <c r="G204" i="2" s="1"/>
  <c r="H204" i="2" s="1"/>
  <c r="J204" i="2" s="1"/>
  <c r="K204" i="2" s="1"/>
  <c r="F117" i="2"/>
  <c r="G117" i="2" s="1"/>
  <c r="H117" i="2" s="1"/>
  <c r="J117" i="2" s="1"/>
  <c r="K117" i="2" s="1"/>
  <c r="F181" i="2"/>
  <c r="G181" i="2" s="1"/>
  <c r="H181" i="2" s="1"/>
  <c r="J181" i="2" s="1"/>
  <c r="K181" i="2" s="1"/>
  <c r="F245" i="2"/>
  <c r="G245" i="2" s="1"/>
  <c r="H245" i="2" s="1"/>
  <c r="J245" i="2" s="1"/>
  <c r="K245" i="2" s="1"/>
  <c r="F309" i="2"/>
  <c r="G309" i="2" s="1"/>
  <c r="H309" i="2" s="1"/>
  <c r="J309" i="2" s="1"/>
  <c r="K309" i="2" s="1"/>
  <c r="F373" i="2"/>
  <c r="G373" i="2" s="1"/>
  <c r="H373" i="2" s="1"/>
  <c r="J373" i="2" s="1"/>
  <c r="K373" i="2" s="1"/>
  <c r="F264" i="2"/>
  <c r="G264" i="2" s="1"/>
  <c r="H264" i="2" s="1"/>
  <c r="J264" i="2" s="1"/>
  <c r="K264" i="2" s="1"/>
  <c r="F318" i="2"/>
  <c r="G318" i="2" s="1"/>
  <c r="H318" i="2" s="1"/>
  <c r="J318" i="2" s="1"/>
  <c r="K318" i="2" s="1"/>
  <c r="F143" i="2"/>
  <c r="G143" i="2" s="1"/>
  <c r="H143" i="2" s="1"/>
  <c r="J143" i="2" s="1"/>
  <c r="K143" i="2" s="1"/>
  <c r="F207" i="2"/>
  <c r="G207" i="2" s="1"/>
  <c r="F271" i="2"/>
  <c r="G271" i="2" s="1"/>
  <c r="H271" i="2" s="1"/>
  <c r="J271" i="2" s="1"/>
  <c r="K271" i="2" s="1"/>
  <c r="F335" i="2"/>
  <c r="G335" i="2" s="1"/>
  <c r="H335" i="2" s="1"/>
  <c r="J335" i="2" s="1"/>
  <c r="K335" i="2" s="1"/>
  <c r="F58" i="2"/>
  <c r="G58" i="2" s="1"/>
  <c r="H58" i="2" s="1"/>
  <c r="F128" i="2"/>
  <c r="G128" i="2" s="1"/>
  <c r="H128" i="2" s="1"/>
  <c r="J128" i="2" s="1"/>
  <c r="K128" i="2" s="1"/>
  <c r="F248" i="2"/>
  <c r="G248" i="2" s="1"/>
  <c r="H248" i="2" s="1"/>
  <c r="J248" i="2" s="1"/>
  <c r="K248" i="2" s="1"/>
  <c r="F105" i="2"/>
  <c r="G105" i="2" s="1"/>
  <c r="H105" i="2" s="1"/>
  <c r="J105" i="2" s="1"/>
  <c r="K105" i="2" s="1"/>
  <c r="F169" i="2"/>
  <c r="G169" i="2" s="1"/>
  <c r="F233" i="2"/>
  <c r="G233" i="2" s="1"/>
  <c r="F297" i="2"/>
  <c r="G297" i="2" s="1"/>
  <c r="H297" i="2" s="1"/>
  <c r="J297" i="2" s="1"/>
  <c r="K297" i="2" s="1"/>
  <c r="F361" i="2"/>
  <c r="G361" i="2" s="1"/>
  <c r="H361" i="2" s="1"/>
  <c r="J361" i="2" s="1"/>
  <c r="K361" i="2" s="1"/>
  <c r="F76" i="2"/>
  <c r="G76" i="2" s="1"/>
  <c r="H76" i="2" s="1"/>
  <c r="J76" i="2" s="1"/>
  <c r="K76" i="2" s="1"/>
  <c r="F244" i="2"/>
  <c r="G244" i="2" s="1"/>
  <c r="H244" i="2" s="1"/>
  <c r="J244" i="2" s="1"/>
  <c r="K244" i="2" s="1"/>
  <c r="F336" i="2"/>
  <c r="G336" i="2" s="1"/>
  <c r="F138" i="2"/>
  <c r="G138" i="2" s="1"/>
  <c r="H138" i="2" s="1"/>
  <c r="J138" i="2" s="1"/>
  <c r="K138" i="2" s="1"/>
  <c r="F202" i="2"/>
  <c r="G202" i="2" s="1"/>
  <c r="F266" i="2"/>
  <c r="G266" i="2" s="1"/>
  <c r="F330" i="2"/>
  <c r="G330" i="2" s="1"/>
  <c r="H330" i="2" s="1"/>
  <c r="J330" i="2" s="1"/>
  <c r="K330" i="2" s="1"/>
  <c r="F94" i="2"/>
  <c r="G94" i="2" s="1"/>
  <c r="H94" i="2" s="1"/>
  <c r="J94" i="2" s="1"/>
  <c r="K94" i="2" s="1"/>
  <c r="F156" i="2"/>
  <c r="G156" i="2" s="1"/>
  <c r="H156" i="2" s="1"/>
  <c r="J156" i="2" s="1"/>
  <c r="K156" i="2" s="1"/>
  <c r="F316" i="2"/>
  <c r="G316" i="2" s="1"/>
  <c r="H316" i="2" s="1"/>
  <c r="J316" i="2" s="1"/>
  <c r="K316" i="2" s="1"/>
  <c r="F75" i="2"/>
  <c r="G75" i="2" s="1"/>
  <c r="H75" i="2" s="1"/>
  <c r="J75" i="2" s="1"/>
  <c r="K75" i="2" s="1"/>
  <c r="F155" i="2"/>
  <c r="G155" i="2" s="1"/>
  <c r="H155" i="2" s="1"/>
  <c r="J155" i="2" s="1"/>
  <c r="K155" i="2" s="1"/>
  <c r="F219" i="2"/>
  <c r="G219" i="2" s="1"/>
  <c r="H219" i="2" s="1"/>
  <c r="J219" i="2" s="1"/>
  <c r="K219" i="2" s="1"/>
  <c r="F283" i="2"/>
  <c r="G283" i="2" s="1"/>
  <c r="F347" i="2"/>
  <c r="G347" i="2" s="1"/>
  <c r="H347" i="2" s="1"/>
  <c r="J347" i="2" s="1"/>
  <c r="K347" i="2" s="1"/>
  <c r="F62" i="2"/>
  <c r="G62" i="2" s="1"/>
  <c r="H62" i="2" s="1"/>
  <c r="J62" i="2" s="1"/>
  <c r="K62" i="2" s="1"/>
  <c r="F228" i="2"/>
  <c r="G228" i="2" s="1"/>
  <c r="H228" i="2" s="1"/>
  <c r="J228" i="2" s="1"/>
  <c r="K228" i="2" s="1"/>
  <c r="F71" i="2"/>
  <c r="G71" i="2" s="1"/>
  <c r="H71" i="2" s="1"/>
  <c r="J71" i="2" s="1"/>
  <c r="K71" i="2" s="1"/>
  <c r="F125" i="2"/>
  <c r="G125" i="2" s="1"/>
  <c r="H125" i="2" s="1"/>
  <c r="J125" i="2" s="1"/>
  <c r="K125" i="2" s="1"/>
  <c r="F189" i="2"/>
  <c r="G189" i="2" s="1"/>
  <c r="H189" i="2" s="1"/>
  <c r="J189" i="2" s="1"/>
  <c r="K189" i="2" s="1"/>
  <c r="F253" i="2"/>
  <c r="G253" i="2" s="1"/>
  <c r="H253" i="2" s="1"/>
  <c r="J253" i="2" s="1"/>
  <c r="K253" i="2" s="1"/>
  <c r="F317" i="2"/>
  <c r="G317" i="2" s="1"/>
  <c r="H317" i="2" s="1"/>
  <c r="J317" i="2" s="1"/>
  <c r="K317" i="2" s="1"/>
  <c r="F381" i="2"/>
  <c r="G381" i="2" s="1"/>
  <c r="H381" i="2" s="1"/>
  <c r="J381" i="2" s="1"/>
  <c r="K381" i="2" s="1"/>
  <c r="F65" i="2"/>
  <c r="G65" i="2" s="1"/>
  <c r="H65" i="2" s="1"/>
  <c r="J65" i="2" s="1"/>
  <c r="K65" i="2" s="1"/>
  <c r="F288" i="2"/>
  <c r="G288" i="2" s="1"/>
  <c r="H288" i="2" s="1"/>
  <c r="J288" i="2" s="1"/>
  <c r="K288" i="2" s="1"/>
  <c r="F134" i="2"/>
  <c r="G134" i="2" s="1"/>
  <c r="H134" i="2" s="1"/>
  <c r="J134" i="2" s="1"/>
  <c r="K134" i="2" s="1"/>
  <c r="F198" i="2"/>
  <c r="G198" i="2" s="1"/>
  <c r="H198" i="2" s="1"/>
  <c r="J198" i="2" s="1"/>
  <c r="K198" i="2" s="1"/>
  <c r="F262" i="2"/>
  <c r="G262" i="2" s="1"/>
  <c r="H262" i="2" s="1"/>
  <c r="J262" i="2" s="1"/>
  <c r="K262" i="2" s="1"/>
  <c r="F326" i="2"/>
  <c r="G326" i="2" s="1"/>
  <c r="F59" i="2"/>
  <c r="G59" i="2" s="1"/>
  <c r="H59" i="2" s="1"/>
  <c r="J59" i="2" s="1"/>
  <c r="J16" i="2" s="1"/>
  <c r="F350" i="2"/>
  <c r="G350" i="2" s="1"/>
  <c r="H350" i="2" s="1"/>
  <c r="J350" i="2" s="1"/>
  <c r="K350" i="2" s="1"/>
  <c r="F151" i="2"/>
  <c r="G151" i="2" s="1"/>
  <c r="H151" i="2" s="1"/>
  <c r="J151" i="2" s="1"/>
  <c r="K151" i="2" s="1"/>
  <c r="F215" i="2"/>
  <c r="G215" i="2" s="1"/>
  <c r="H215" i="2" s="1"/>
  <c r="J215" i="2" s="1"/>
  <c r="K215" i="2" s="1"/>
  <c r="F279" i="2"/>
  <c r="G279" i="2" s="1"/>
  <c r="H279" i="2" s="1"/>
  <c r="J279" i="2" s="1"/>
  <c r="K279" i="2" s="1"/>
  <c r="F343" i="2"/>
  <c r="G343" i="2" s="1"/>
  <c r="H343" i="2" s="1"/>
  <c r="J343" i="2" s="1"/>
  <c r="K343" i="2" s="1"/>
  <c r="F66" i="2"/>
  <c r="G66" i="2" s="1"/>
  <c r="H66" i="2" s="1"/>
  <c r="J66" i="2" s="1"/>
  <c r="K66" i="2" s="1"/>
  <c r="F136" i="2"/>
  <c r="G136" i="2" s="1"/>
  <c r="H136" i="2" s="1"/>
  <c r="J136" i="2" s="1"/>
  <c r="K136" i="2" s="1"/>
  <c r="F272" i="2"/>
  <c r="G272" i="2" s="1"/>
  <c r="F113" i="2"/>
  <c r="G113" i="2" s="1"/>
  <c r="H113" i="2" s="1"/>
  <c r="J113" i="2" s="1"/>
  <c r="K113" i="2" s="1"/>
  <c r="F177" i="2"/>
  <c r="G177" i="2" s="1"/>
  <c r="H177" i="2" s="1"/>
  <c r="J177" i="2" s="1"/>
  <c r="K177" i="2" s="1"/>
  <c r="F241" i="2"/>
  <c r="G241" i="2" s="1"/>
  <c r="H241" i="2" s="1"/>
  <c r="J241" i="2" s="1"/>
  <c r="K241" i="2" s="1"/>
  <c r="F305" i="2"/>
  <c r="G305" i="2" s="1"/>
  <c r="H305" i="2" s="1"/>
  <c r="J305" i="2" s="1"/>
  <c r="K305" i="2" s="1"/>
  <c r="F369" i="2"/>
  <c r="G369" i="2" s="1"/>
  <c r="H369" i="2" s="1"/>
  <c r="J369" i="2" s="1"/>
  <c r="K369" i="2" s="1"/>
  <c r="F84" i="2"/>
  <c r="G84" i="2" s="1"/>
  <c r="H84" i="2" s="1"/>
  <c r="J84" i="2" s="1"/>
  <c r="K84" i="2" s="1"/>
  <c r="F268" i="2"/>
  <c r="G268" i="2" s="1"/>
  <c r="H268" i="2" s="1"/>
  <c r="J268" i="2" s="1"/>
  <c r="K268" i="2" s="1"/>
  <c r="F384" i="2"/>
  <c r="G384" i="2" s="1"/>
  <c r="H384" i="2" s="1"/>
  <c r="J384" i="2" s="1"/>
  <c r="K384" i="2" s="1"/>
  <c r="F146" i="2"/>
  <c r="G146" i="2" s="1"/>
  <c r="H146" i="2" s="1"/>
  <c r="J146" i="2" s="1"/>
  <c r="K146" i="2" s="1"/>
  <c r="F210" i="2"/>
  <c r="G210" i="2" s="1"/>
  <c r="H210" i="2" s="1"/>
  <c r="J210" i="2" s="1"/>
  <c r="K210" i="2" s="1"/>
  <c r="F274" i="2"/>
  <c r="G274" i="2" s="1"/>
  <c r="H274" i="2" s="1"/>
  <c r="J274" i="2" s="1"/>
  <c r="K274" i="2" s="1"/>
  <c r="F338" i="2"/>
  <c r="G338" i="2" s="1"/>
  <c r="H338" i="2" s="1"/>
  <c r="J338" i="2" s="1"/>
  <c r="K338" i="2" s="1"/>
  <c r="F172" i="2"/>
  <c r="G172" i="2" s="1"/>
  <c r="F340" i="2"/>
  <c r="G340" i="2" s="1"/>
  <c r="H340" i="2" s="1"/>
  <c r="J340" i="2" s="1"/>
  <c r="K340" i="2" s="1"/>
  <c r="F99" i="2"/>
  <c r="G99" i="2" s="1"/>
  <c r="H99" i="2" s="1"/>
  <c r="J99" i="2" s="1"/>
  <c r="K99" i="2" s="1"/>
  <c r="F163" i="2"/>
  <c r="G163" i="2" s="1"/>
  <c r="H163" i="2" s="1"/>
  <c r="J163" i="2" s="1"/>
  <c r="K163" i="2" s="1"/>
  <c r="F227" i="2"/>
  <c r="G227" i="2" s="1"/>
  <c r="H227" i="2" s="1"/>
  <c r="J227" i="2" s="1"/>
  <c r="K227" i="2" s="1"/>
  <c r="F291" i="2"/>
  <c r="G291" i="2" s="1"/>
  <c r="H291" i="2" s="1"/>
  <c r="J291" i="2" s="1"/>
  <c r="K291" i="2" s="1"/>
  <c r="F355" i="2"/>
  <c r="G355" i="2" s="1"/>
  <c r="H355" i="2" s="1"/>
  <c r="J355" i="2" s="1"/>
  <c r="K355" i="2" s="1"/>
  <c r="F70" i="2"/>
  <c r="G70" i="2" s="1"/>
  <c r="H70" i="2" s="1"/>
  <c r="J70" i="2" s="1"/>
  <c r="K70" i="2" s="1"/>
  <c r="F252" i="2"/>
  <c r="G252" i="2" s="1"/>
  <c r="H252" i="2" s="1"/>
  <c r="J252" i="2" s="1"/>
  <c r="K252" i="2" s="1"/>
  <c r="F344" i="2"/>
  <c r="G344" i="2" s="1"/>
  <c r="H344" i="2" s="1"/>
  <c r="J344" i="2" s="1"/>
  <c r="K344" i="2" s="1"/>
  <c r="F133" i="2"/>
  <c r="G133" i="2" s="1"/>
  <c r="H133" i="2" s="1"/>
  <c r="J133" i="2" s="1"/>
  <c r="K133" i="2" s="1"/>
  <c r="F197" i="2"/>
  <c r="G197" i="2" s="1"/>
  <c r="H197" i="2" s="1"/>
  <c r="J197" i="2" s="1"/>
  <c r="K197" i="2" s="1"/>
  <c r="F261" i="2"/>
  <c r="G261" i="2" s="1"/>
  <c r="H261" i="2" s="1"/>
  <c r="J261" i="2" s="1"/>
  <c r="K261" i="2" s="1"/>
  <c r="F325" i="2"/>
  <c r="G325" i="2" s="1"/>
  <c r="H325" i="2" s="1"/>
  <c r="J325" i="2" s="1"/>
  <c r="K325" i="2" s="1"/>
  <c r="F389" i="2"/>
  <c r="G389" i="2" s="1"/>
  <c r="H389" i="2" s="1"/>
  <c r="J389" i="2" s="1"/>
  <c r="K389" i="2" s="1"/>
  <c r="F81" i="2"/>
  <c r="G81" i="2" s="1"/>
  <c r="H81" i="2" s="1"/>
  <c r="J81" i="2" s="1"/>
  <c r="K81" i="2" s="1"/>
  <c r="F312" i="2"/>
  <c r="G312" i="2" s="1"/>
  <c r="H312" i="2" s="1"/>
  <c r="J312" i="2" s="1"/>
  <c r="K312" i="2" s="1"/>
  <c r="F142" i="2"/>
  <c r="G142" i="2" s="1"/>
  <c r="H142" i="2" s="1"/>
  <c r="J142" i="2" s="1"/>
  <c r="K142" i="2" s="1"/>
  <c r="F206" i="2"/>
  <c r="G206" i="2" s="1"/>
  <c r="H206" i="2" s="1"/>
  <c r="J206" i="2" s="1"/>
  <c r="K206" i="2" s="1"/>
  <c r="F270" i="2"/>
  <c r="G270" i="2" s="1"/>
  <c r="H270" i="2" s="1"/>
  <c r="J270" i="2" s="1"/>
  <c r="K270" i="2" s="1"/>
  <c r="F334" i="2"/>
  <c r="G334" i="2" s="1"/>
  <c r="H334" i="2" s="1"/>
  <c r="J334" i="2" s="1"/>
  <c r="K334" i="2" s="1"/>
  <c r="F73" i="2"/>
  <c r="G73" i="2" s="1"/>
  <c r="H73" i="2" s="1"/>
  <c r="J73" i="2" s="1"/>
  <c r="K73" i="2" s="1"/>
  <c r="F176" i="2"/>
  <c r="G176" i="2" s="1"/>
  <c r="H176" i="2" s="1"/>
  <c r="J176" i="2" s="1"/>
  <c r="K176" i="2" s="1"/>
  <c r="F286" i="2"/>
  <c r="G286" i="2" s="1"/>
  <c r="H286" i="2" s="1"/>
  <c r="J286" i="2" s="1"/>
  <c r="K286" i="2" s="1"/>
  <c r="H353" i="2"/>
  <c r="J353" i="2" s="1"/>
  <c r="K353" i="2" s="1"/>
  <c r="H205" i="2"/>
  <c r="J205" i="2" s="1"/>
  <c r="K205" i="2" s="1"/>
  <c r="H269" i="2"/>
  <c r="J269" i="2" s="1"/>
  <c r="K269" i="2" s="1"/>
  <c r="H333" i="2"/>
  <c r="J333" i="2" s="1"/>
  <c r="K333" i="2" s="1"/>
  <c r="H352" i="2"/>
  <c r="J352" i="2" s="1"/>
  <c r="K352" i="2" s="1"/>
  <c r="H387" i="2"/>
  <c r="J387" i="2" s="1"/>
  <c r="K387" i="2" s="1"/>
  <c r="H283" i="2"/>
  <c r="J283" i="2" s="1"/>
  <c r="K283" i="2" s="1"/>
  <c r="H239" i="2"/>
  <c r="J239" i="2" s="1"/>
  <c r="K239" i="2" s="1"/>
  <c r="H158" i="2"/>
  <c r="J158" i="2" s="1"/>
  <c r="K158" i="2" s="1"/>
  <c r="H233" i="2"/>
  <c r="J233" i="2" s="1"/>
  <c r="K233" i="2" s="1"/>
  <c r="H149" i="2"/>
  <c r="J149" i="2" s="1"/>
  <c r="K149" i="2" s="1"/>
  <c r="H202" i="2"/>
  <c r="J202" i="2" s="1"/>
  <c r="K202" i="2" s="1"/>
  <c r="H171" i="2"/>
  <c r="J171" i="2" s="1"/>
  <c r="K171" i="2" s="1"/>
  <c r="H299" i="2"/>
  <c r="J299" i="2" s="1"/>
  <c r="K299" i="2" s="1"/>
  <c r="H132" i="2"/>
  <c r="J132" i="2" s="1"/>
  <c r="K132" i="2" s="1"/>
  <c r="H260" i="2"/>
  <c r="J260" i="2" s="1"/>
  <c r="K260" i="2" s="1"/>
  <c r="H324" i="2"/>
  <c r="J324" i="2" s="1"/>
  <c r="K324" i="2" s="1"/>
  <c r="H388" i="2"/>
  <c r="J388" i="2" s="1"/>
  <c r="K388" i="2" s="1"/>
  <c r="H157" i="2"/>
  <c r="J157" i="2" s="1"/>
  <c r="K157" i="2" s="1"/>
  <c r="H221" i="2"/>
  <c r="J221" i="2" s="1"/>
  <c r="K221" i="2" s="1"/>
  <c r="H285" i="2"/>
  <c r="J285" i="2" s="1"/>
  <c r="K285" i="2" s="1"/>
  <c r="H349" i="2"/>
  <c r="J349" i="2" s="1"/>
  <c r="K349" i="2" s="1"/>
  <c r="H368" i="2"/>
  <c r="J368" i="2" s="1"/>
  <c r="K368" i="2" s="1"/>
  <c r="H218" i="2"/>
  <c r="J218" i="2" s="1"/>
  <c r="K218" i="2" s="1"/>
  <c r="H346" i="2"/>
  <c r="J346" i="2" s="1"/>
  <c r="K346" i="2" s="1"/>
  <c r="H187" i="2"/>
  <c r="J187" i="2" s="1"/>
  <c r="K187" i="2" s="1"/>
  <c r="H315" i="2"/>
  <c r="J315" i="2" s="1"/>
  <c r="K315" i="2" s="1"/>
  <c r="H249" i="2"/>
  <c r="J249" i="2" s="1"/>
  <c r="K249" i="2" s="1"/>
  <c r="H313" i="2"/>
  <c r="J313" i="2" s="1"/>
  <c r="K313" i="2" s="1"/>
  <c r="H98" i="2"/>
  <c r="J98" i="2" s="1"/>
  <c r="K98" i="2" s="1"/>
  <c r="H226" i="2"/>
  <c r="J226" i="2" s="1"/>
  <c r="K226" i="2" s="1"/>
  <c r="H106" i="2"/>
  <c r="J106" i="2" s="1"/>
  <c r="K106" i="2" s="1"/>
  <c r="H234" i="2"/>
  <c r="J234" i="2" s="1"/>
  <c r="K234" i="2" s="1"/>
  <c r="H203" i="2"/>
  <c r="J203" i="2" s="1"/>
  <c r="K203" i="2" s="1"/>
  <c r="H331" i="2"/>
  <c r="J331" i="2" s="1"/>
  <c r="K331" i="2" s="1"/>
  <c r="H222" i="2"/>
  <c r="J222" i="2" s="1"/>
  <c r="K222" i="2" s="1"/>
  <c r="H375" i="2"/>
  <c r="J375" i="2" s="1"/>
  <c r="K375" i="2" s="1"/>
  <c r="H247" i="2"/>
  <c r="J247" i="2" s="1"/>
  <c r="K247" i="2" s="1"/>
  <c r="H391" i="2"/>
  <c r="J391" i="2" s="1"/>
  <c r="K391" i="2" s="1"/>
  <c r="H310" i="2"/>
  <c r="J310" i="2" s="1"/>
  <c r="K310" i="2" s="1"/>
  <c r="H342" i="2"/>
  <c r="J342" i="2" s="1"/>
  <c r="K342" i="2" s="1"/>
  <c r="H250" i="2"/>
  <c r="J250" i="2" s="1"/>
  <c r="K250" i="2" s="1"/>
  <c r="H159" i="2"/>
  <c r="J159" i="2" s="1"/>
  <c r="K159" i="2" s="1"/>
  <c r="H385" i="2"/>
  <c r="J385" i="2" s="1"/>
  <c r="K385" i="2" s="1"/>
  <c r="H276" i="2"/>
  <c r="J276" i="2" s="1"/>
  <c r="K276" i="2" s="1"/>
  <c r="H237" i="2"/>
  <c r="J237" i="2" s="1"/>
  <c r="K237" i="2" s="1"/>
  <c r="H301" i="2"/>
  <c r="J301" i="2" s="1"/>
  <c r="K301" i="2" s="1"/>
  <c r="H192" i="2"/>
  <c r="J192" i="2" s="1"/>
  <c r="K192" i="2" s="1"/>
  <c r="H370" i="2"/>
  <c r="J370" i="2" s="1"/>
  <c r="K370" i="2" s="1"/>
  <c r="H127" i="2"/>
  <c r="J127" i="2" s="1"/>
  <c r="K127" i="2" s="1"/>
  <c r="H326" i="2"/>
  <c r="J326" i="2" s="1"/>
  <c r="K326" i="2" s="1"/>
  <c r="H374" i="2"/>
  <c r="J374" i="2" s="1"/>
  <c r="K374" i="2" s="1"/>
  <c r="H95" i="2"/>
  <c r="J95" i="2" s="1"/>
  <c r="K95" i="2" s="1"/>
  <c r="H201" i="2"/>
  <c r="J201" i="2" s="1"/>
  <c r="K201" i="2" s="1"/>
  <c r="H265" i="2"/>
  <c r="J265" i="2" s="1"/>
  <c r="K265" i="2" s="1"/>
  <c r="H393" i="2"/>
  <c r="J393" i="2" s="1"/>
  <c r="H258" i="2"/>
  <c r="J258" i="2" s="1"/>
  <c r="K258" i="2" s="1"/>
  <c r="H386" i="2"/>
  <c r="J386" i="2" s="1"/>
  <c r="K386" i="2" s="1"/>
  <c r="H230" i="2"/>
  <c r="J230" i="2" s="1"/>
  <c r="K230" i="2" s="1"/>
  <c r="H266" i="2"/>
  <c r="J266" i="2" s="1"/>
  <c r="K266" i="2" s="1"/>
  <c r="H235" i="2"/>
  <c r="J235" i="2" s="1"/>
  <c r="K235" i="2" s="1"/>
  <c r="H363" i="2"/>
  <c r="J363" i="2" s="1"/>
  <c r="K363" i="2" s="1"/>
  <c r="H390" i="2"/>
  <c r="J390" i="2" s="1"/>
  <c r="K390" i="2" s="1"/>
  <c r="H207" i="2"/>
  <c r="J207" i="2" s="1"/>
  <c r="K207" i="2" s="1"/>
  <c r="H154" i="2"/>
  <c r="J154" i="2" s="1"/>
  <c r="K154" i="2" s="1"/>
  <c r="H123" i="2"/>
  <c r="J123" i="2" s="1"/>
  <c r="K123" i="2" s="1"/>
  <c r="H175" i="2"/>
  <c r="J175" i="2" s="1"/>
  <c r="K175" i="2" s="1"/>
  <c r="H327" i="2"/>
  <c r="J327" i="2" s="1"/>
  <c r="K327" i="2" s="1"/>
  <c r="H273" i="2"/>
  <c r="J273" i="2" s="1"/>
  <c r="K273" i="2" s="1"/>
  <c r="H337" i="2"/>
  <c r="J337" i="2" s="1"/>
  <c r="K337" i="2" s="1"/>
  <c r="H164" i="2"/>
  <c r="J164" i="2" s="1"/>
  <c r="K164" i="2" s="1"/>
  <c r="H356" i="2"/>
  <c r="J356" i="2" s="1"/>
  <c r="K356" i="2" s="1"/>
  <c r="H208" i="2"/>
  <c r="J208" i="2" s="1"/>
  <c r="K208" i="2" s="1"/>
  <c r="H272" i="2"/>
  <c r="J272" i="2" s="1"/>
  <c r="K272" i="2" s="1"/>
  <c r="H336" i="2"/>
  <c r="J336" i="2" s="1"/>
  <c r="K336" i="2" s="1"/>
  <c r="H282" i="2"/>
  <c r="J282" i="2" s="1"/>
  <c r="K282" i="2" s="1"/>
  <c r="H251" i="2"/>
  <c r="J251" i="2" s="1"/>
  <c r="K251" i="2" s="1"/>
  <c r="H358" i="2"/>
  <c r="J358" i="2" s="1"/>
  <c r="K358" i="2" s="1"/>
  <c r="H287" i="2"/>
  <c r="J287" i="2" s="1"/>
  <c r="K287" i="2" s="1"/>
  <c r="H359" i="2"/>
  <c r="J359" i="2" s="1"/>
  <c r="K359" i="2" s="1"/>
  <c r="H153" i="2"/>
  <c r="J153" i="2" s="1"/>
  <c r="K153" i="2" s="1"/>
  <c r="H217" i="2"/>
  <c r="J217" i="2" s="1"/>
  <c r="K217" i="2" s="1"/>
  <c r="H172" i="2"/>
  <c r="J172" i="2" s="1"/>
  <c r="K172" i="2" s="1"/>
  <c r="H300" i="2"/>
  <c r="J300" i="2" s="1"/>
  <c r="K300" i="2" s="1"/>
  <c r="H152" i="2"/>
  <c r="J152" i="2" s="1"/>
  <c r="K152" i="2" s="1"/>
  <c r="H115" i="2"/>
  <c r="J115" i="2" s="1"/>
  <c r="K115" i="2" s="1"/>
  <c r="H243" i="2"/>
  <c r="J243" i="2" s="1"/>
  <c r="K243" i="2" s="1"/>
  <c r="H298" i="2"/>
  <c r="J298" i="2" s="1"/>
  <c r="K298" i="2" s="1"/>
  <c r="H267" i="2"/>
  <c r="J267" i="2" s="1"/>
  <c r="K267" i="2" s="1"/>
  <c r="H110" i="2"/>
  <c r="J110" i="2" s="1"/>
  <c r="K110" i="2" s="1"/>
  <c r="H223" i="2"/>
  <c r="J223" i="2" s="1"/>
  <c r="K223" i="2" s="1"/>
  <c r="H186" i="2"/>
  <c r="J186" i="2" s="1"/>
  <c r="K186" i="2" s="1"/>
  <c r="H121" i="2"/>
  <c r="J121" i="2" s="1"/>
  <c r="K121" i="2" s="1"/>
  <c r="H225" i="2"/>
  <c r="J225" i="2" s="1"/>
  <c r="K225" i="2" s="1"/>
  <c r="H185" i="2"/>
  <c r="J185" i="2" s="1"/>
  <c r="K185" i="2" s="1"/>
  <c r="H372" i="2"/>
  <c r="J372" i="2" s="1"/>
  <c r="K372" i="2" s="1"/>
  <c r="H182" i="2"/>
  <c r="J182" i="2" s="1"/>
  <c r="K182" i="2" s="1"/>
  <c r="H169" i="2"/>
  <c r="J169" i="2" s="1"/>
  <c r="K169" i="2" s="1"/>
  <c r="H150" i="2"/>
  <c r="J150" i="2" s="1"/>
  <c r="K150" i="2" s="1"/>
  <c r="H232" i="2"/>
  <c r="J232" i="2" s="1"/>
  <c r="K232" i="2" s="1"/>
  <c r="H320" i="2"/>
  <c r="J320" i="2" s="1"/>
  <c r="K320" i="2" s="1"/>
  <c r="H294" i="2"/>
  <c r="J294" i="2" s="1"/>
  <c r="K294" i="2" s="1"/>
  <c r="H193" i="2"/>
  <c r="J193" i="2" s="1"/>
  <c r="K193" i="2" s="1"/>
  <c r="C58" i="2"/>
  <c r="C59" i="2" s="1"/>
  <c r="C60" i="2" s="1"/>
  <c r="C61" i="2" s="1"/>
  <c r="C62" i="2" s="1"/>
  <c r="H86" i="2"/>
  <c r="J86" i="2" s="1"/>
  <c r="K86" i="2" s="1"/>
  <c r="H69" i="2"/>
  <c r="J69" i="2" s="1"/>
  <c r="K69" i="2" s="1"/>
  <c r="H79" i="2"/>
  <c r="J79" i="2" s="1"/>
  <c r="K79" i="2" s="1"/>
  <c r="H74" i="2"/>
  <c r="J74" i="2" s="1"/>
  <c r="K74" i="2" s="1"/>
  <c r="H87" i="2"/>
  <c r="J87" i="2" s="1"/>
  <c r="K87" i="2" s="1"/>
  <c r="H91" i="2"/>
  <c r="J91" i="2" s="1"/>
  <c r="K91" i="2" s="1"/>
  <c r="H80" i="2"/>
  <c r="J80" i="2" s="1"/>
  <c r="K80" i="2" s="1"/>
  <c r="K59" i="2" l="1"/>
  <c r="K393" i="2"/>
  <c r="J58" i="2"/>
  <c r="C63" i="2"/>
  <c r="K58" i="2" l="1"/>
  <c r="K32" i="2" s="1"/>
  <c r="H25" i="2" s="1"/>
  <c r="I25" i="2" s="1"/>
  <c r="J25" i="2" s="1"/>
  <c r="J17" i="2"/>
  <c r="J18" i="2" s="1"/>
  <c r="J19" i="2" s="1"/>
  <c r="C64" i="2"/>
  <c r="C65" i="2" l="1"/>
  <c r="C66" i="2" l="1"/>
  <c r="C67" i="2" l="1"/>
  <c r="C68" i="2" l="1"/>
  <c r="C69" i="2" l="1"/>
  <c r="C70" i="2" l="1"/>
  <c r="C71" i="2" l="1"/>
  <c r="C72" i="2" l="1"/>
  <c r="C73" i="2" l="1"/>
  <c r="C74" i="2" l="1"/>
  <c r="C75" i="2" l="1"/>
  <c r="C76" i="2" l="1"/>
  <c r="C77" i="2" l="1"/>
  <c r="C78" i="2" l="1"/>
  <c r="C79" i="2" l="1"/>
  <c r="C80" i="2" l="1"/>
  <c r="C81" i="2" l="1"/>
  <c r="C82" i="2" l="1"/>
  <c r="C83" i="2" l="1"/>
  <c r="C84" i="2" l="1"/>
  <c r="C85" i="2" l="1"/>
  <c r="C86" i="2" l="1"/>
  <c r="C87" i="2" l="1"/>
  <c r="C88" i="2" l="1"/>
  <c r="C89" i="2" l="1"/>
  <c r="C90" i="2" l="1"/>
  <c r="C91" i="2" l="1"/>
  <c r="C92" i="2" l="1"/>
  <c r="C93" i="2" l="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C57788-D251-460C-B44A-DCB481257854}" keepAlive="1" interval="60" name="Consulta - Valor UVA" description="Conexión a la consulta 'Valor UVA' en el libro." type="5" refreshedVersion="8" background="1" refreshOnLoad="1" saveData="1">
    <dbPr connection="Provider=Microsoft.Mashup.OleDb.1;Data Source=$Workbook$;Location=&quot;Valor UVA&quot;;Extended Properties=&quot;&quot;" command="SELECT * FROM [Valor UVA]"/>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<sst xmlns="http://schemas.openxmlformats.org/spreadsheetml/2006/main" count="88" uniqueCount="65">
  <si>
    <t>Titular/es cobra/n haberes en BNA</t>
  </si>
  <si>
    <t>Si</t>
  </si>
  <si>
    <t>No</t>
  </si>
  <si>
    <t>Destino</t>
  </si>
  <si>
    <t>Construcción vivienda única</t>
  </si>
  <si>
    <t>Ampliación / refacción / terminación viv. Única</t>
  </si>
  <si>
    <t>Adquisición segunda vivienda</t>
  </si>
  <si>
    <t>Adquisición / cambio vivienda única</t>
  </si>
  <si>
    <t>TNA</t>
  </si>
  <si>
    <t>Valor vivienda en UVAs</t>
  </si>
  <si>
    <t>Opción tope CVS</t>
  </si>
  <si>
    <t>Plazo</t>
  </si>
  <si>
    <t>años</t>
  </si>
  <si>
    <t>Monto Mínimo</t>
  </si>
  <si>
    <t>% Financiación máximo</t>
  </si>
  <si>
    <t>Empleado BNA</t>
  </si>
  <si>
    <t>Adhiere Opción tope CVS</t>
  </si>
  <si>
    <t>Relación Cuota Ingreso Máxima</t>
  </si>
  <si>
    <t>Adquisición / Construcción</t>
  </si>
  <si>
    <t>Ampliación</t>
  </si>
  <si>
    <t>Construcción período de gracia</t>
  </si>
  <si>
    <t>meses</t>
  </si>
  <si>
    <t>días desde alta</t>
  </si>
  <si>
    <t>días desde 2do desem</t>
  </si>
  <si>
    <t>Construcción período de gracia zona patagonica</t>
  </si>
  <si>
    <t>1er desemb</t>
  </si>
  <si>
    <t>2da desemb</t>
  </si>
  <si>
    <t>Monto Máximo adquis./construc.</t>
  </si>
  <si>
    <t>Monto Máximo ampliación</t>
  </si>
  <si>
    <t>Ampliación período de gracia</t>
  </si>
  <si>
    <t>Valor vivienda en $</t>
  </si>
  <si>
    <t>Monto en $</t>
  </si>
  <si>
    <t>Proporción de apoyo</t>
  </si>
  <si>
    <t>Zona patagónica</t>
  </si>
  <si>
    <t>Zona Patagónica</t>
  </si>
  <si>
    <t>Seguro de Incendio</t>
  </si>
  <si>
    <t>VALOR PROPIEDAD EN UVA:</t>
  </si>
  <si>
    <t>MONTO INICIAL EN UVA:</t>
  </si>
  <si>
    <t>Plazo en años</t>
  </si>
  <si>
    <t>TEM</t>
  </si>
  <si>
    <t>Saldo Capital en UVA</t>
  </si>
  <si>
    <t>Capital cuota en UVA</t>
  </si>
  <si>
    <t>Interés Cuota en UVA</t>
  </si>
  <si>
    <t>Cuota total Préstamo en UVA</t>
  </si>
  <si>
    <t>Ingresos Netos Necesarios Titulares y Codeudores:</t>
  </si>
  <si>
    <t>Ingresos Netos Mínimos Titulares:</t>
  </si>
  <si>
    <t>TEA</t>
  </si>
  <si>
    <t>PRIMERA CUOTA (1)</t>
  </si>
  <si>
    <t>IVA Cuota en Uva (3)</t>
  </si>
  <si>
    <t>El presente desarrollo no constituye oferta del Banco de la Nación Argentina, sólo tiene carácter informativo y orientativo para el interesado. Préstamos sujetos a las condiciones de aprobación establecidas por el Banco de la Nación Argentina
(1) La primera cuota es calculada suponiendo períodos mensuales de 30 días, su importe podría diferir en función de los días reales transcurridos entre el otorgamiento y su fecha de vencimiento.
(2) Costo Financiero Total en UVAS calculado en forma orientativa para todo el período del préstamo suponiendo cuotas mensuales periódicas cada 30 días, el mismo podría diferir en función de los días reales transcurridos entre el pago de las cuotas. El cálculo del CFT en UVAS incluye capital, intereses, seguro de incendio, e IVA de corresponder.
(3) Eximición de IVA sobre intereses conforme lo establecido en la RG AFIP 680/99.</t>
  </si>
  <si>
    <t>Costo Financiero Total en UVAs (2)</t>
  </si>
  <si>
    <t>El presente desarrollo no constituye oferta del Banco de la Nación Argentina, sólo tiene carácter informativo y orientativo para el interesado. Préstamos sujetos a las condiciones de aprobación establecidas por el Banco de la Nación Argentina
(1) La primera cuota es calculada suponiendo períodos mensuales de 30 días, su importe podría diferir en función de los días reales transcurridos entre el otorgamiento y su fecha de vencimiento.
(2) Costo Financiero Total en UVAS calculado en forma orientativa para todo el período del préstamo suponiendo cuotas mensuales periódicas cada 30 días, el mismo podría diferir en función de los días reales transcurridos entre el pago de las cuotas. El cálculo del CFT en UVAS incluye capital, intereses, seguro de incendio, e IVA de corresponder.
(3) Eximición de IVA sobre intereses conforme lo establecido en la RG AFIP 680/99.
(4) Para el destino Construcción, se supone que los desembolsos tienen lugar: el primero al otorgamiento, el segundo a los 180 días desde el otorgamiento y el tercero a los 180 días del segundo desembolso. El CFT en UVAs se calcula en forma proporcional considerando el primer desembolso.</t>
  </si>
  <si>
    <t>COSTO TOTAL CLIENTE en UVA</t>
  </si>
  <si>
    <t xml:space="preserve"> </t>
  </si>
  <si>
    <t>Cuota Préstamo En UVAs</t>
  </si>
  <si>
    <t>Cuota en $</t>
  </si>
  <si>
    <t>VALOR INICIAL UVA :</t>
  </si>
  <si>
    <t>SI</t>
  </si>
  <si>
    <t>Prima en UVA</t>
  </si>
  <si>
    <t>Column1.descripcion</t>
  </si>
  <si>
    <t>Column1.fecha</t>
  </si>
  <si>
    <t>Column1.valor</t>
  </si>
  <si>
    <t>Unidad de Valor Adquisitivo (UVA) (en pesos -con dos decimales-, base 31.3.2016=14.05)</t>
  </si>
  <si>
    <t>El presente desarrollo no constituye oferta del Banco de la Nación Argentina, sólo tiene carácter informativo y orientativo para el interesado. Préstamos sujetos a las condiciones de aprobación establecidas por el Banco de la Nación Argentina
(1) La primera cuota es calculada suponiendo períodos mensuales de 30 días, su importe podría diferir en función de los días reales transcurridos entre el otorgamiento y su fecha de vencimiento.
(2) Costo Financiero Total en UVAS calculado en forma orientativa para todo el período del préstamo suponiendo cuotas mensuales periódicas cada 30 días, el mismo podría diferir en función de los días reales transcurridos entre el pago de las cuotas. El cálculo del CFT en UVAS incluye capital, intereses, seguro de incendio, e IVA de corresponder.</t>
  </si>
  <si>
    <t>2024-07-10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</si>
</sst>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43" formatCode="_-* #,##0.00_-;\-* #,##0.00_-;_-* &quot;-&quot;??_-;_-@_-"/>
    <numFmt numFmtId="164" formatCode="_-* #,##0_-;\-* #,##0_-;_-* &quot;-&quot;??_-;_-@_-"/>
    <numFmt numFmtId="165" formatCode="[$$-2C0A]#,##0"/>
    <numFmt numFmtId="166" formatCode="[$$-2C0A]#,##0.00"/>
    <numFmt numFmtId="167" formatCode="0.00000"/>
    <numFmt numFmtId="168" formatCode="[$$-2C0A]\ #,##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2"/>
      <name val="Arial"/>
      <family val="2"/>
    </font>
    <font>
      <b/>
      <sz val="12"/>
      <color indexed="9"/>
      <name val="Verdana"/>
      <family val="2"/>
    </font>
    <font>
      <u/>
      <sz val="11"/>
      <color theme="10"/>
      <name val="Calibri"/>
      <family val="2"/>
      <scheme val="minor"/>
    </font>
    <font>
      <b/>
      <sz val="10"/>
      <color rgb="FF002060"/>
      <name val="Arial"/>
      <family val="2"/>
    </font>
    <font>
      <b/>
      <sz val="12"/>
      <name val="Arial"/>
      <family val="2"/>
    </font>
    <font>
      <u/>
      <sz val="11"/>
      <color theme="10"/>
      <name val="Arial"/>
      <family val="2"/>
    </font>
    <font>
      <b/>
      <sz val="14"/>
      <color theme="3" tint="-0.249977111117893"/>
      <name val="Calibri"/>
      <family val="2"/>
      <scheme val="minor"/>
    </font>
    <font>
      <b/>
      <sz val="11"/>
      <color theme="3" tint="-0.249977111117893"/>
      <name val="Verdana"/>
      <family val="2"/>
    </font>
    <font>
      <b/>
      <sz val="10"/>
      <color theme="3" tint="-0.249977111117893"/>
      <name val="Verdana"/>
      <family val="2"/>
    </font>
    <font>
      <b/>
      <sz val="9"/>
      <color indexed="9"/>
      <name val="Verdana"/>
      <family val="2"/>
    </font>
    <font>
      <b/>
      <sz val="10"/>
      <color theme="0"/>
      <name val="Verdana"/>
      <family val="2"/>
    </font>
    <font>
      <b/>
      <sz val="11"/>
      <color rgb="FFFF0000"/>
      <name val="Calibri"/>
      <family val="2"/>
      <scheme val="minor"/>
    </font>
    <font>
      <b/>
      <sz val="7.5"/>
      <color theme="3" tint="-0.249977111117893"/>
      <name val="Verdana"/>
      <family val="2"/>
    </font>
    <font>
      <b/>
      <sz val="11"/>
      <color theme="0"/>
      <name val="Calibri"/>
      <family val="2"/>
      <scheme val="minor"/>
    </font>
    <font>
      <b/>
      <sz val="8"/>
      <color theme="3" tint="-0.249977111117893"/>
      <name val="Verdana"/>
      <family val="2"/>
    </font>
    <font>
      <b/>
      <sz val="14"/>
      <color theme="3" tint="-0.249977111117893"/>
      <name val="Verdana"/>
      <family val="2"/>
    </font>
    <font>
      <i/>
      <sz val="10"/>
      <name val="Arial"/>
      <family val="2"/>
    </font>
    <font>
      <b/>
      <sz val="10"/>
      <color indexed="9"/>
      <name val="Verdana"/>
      <family val="2"/>
    </font>
    <font>
      <b/>
      <sz val="10"/>
      <color rgb="FFFF0000"/>
      <name val="Calibri"/>
      <family val="2"/>
      <scheme val="minor"/>
    </font>
    <font>
      <b/>
      <sz val="11"/>
      <color theme="0"/>
      <name val="Verdana"/>
      <family val="2"/>
    </font>
    <font>
      <sz val="1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s>
  <borders count="34">
    <border>
      <left/>
      <right/>
      <top/>
      <bottom/>
      <diagonal/>
    </border>
    <border>
      <left style="double">
        <color rgb="FF00B0F0"/>
      </left>
      <right/>
      <top style="double">
        <color rgb="FF00B0F0"/>
      </top>
      <bottom style="double">
        <color rgb="FF00B0F0"/>
      </bottom>
      <diagonal/>
    </border>
    <border>
      <left/>
      <right/>
      <top style="double">
        <color rgb="FF00B0F0"/>
      </top>
      <bottom style="double">
        <color rgb="FF00B0F0"/>
      </bottom>
      <diagonal/>
    </border>
    <border>
      <left/>
      <right style="double">
        <color rgb="FF00B0F0"/>
      </right>
      <top style="double">
        <color rgb="FF00B0F0"/>
      </top>
      <bottom style="double">
        <color rgb="FF00B0F0"/>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right style="dotted">
        <color theme="0" tint="-0.499984740745262"/>
      </right>
      <top/>
      <bottom/>
      <diagonal/>
    </border>
    <border>
      <left/>
      <right style="double">
        <color rgb="FF00B0F0"/>
      </right>
      <top/>
      <bottom style="thin">
        <color theme="8" tint="-0.499984740745262"/>
      </bottom>
      <diagonal/>
    </border>
    <border>
      <left style="double">
        <color rgb="FF00B0F0"/>
      </left>
      <right/>
      <top style="double">
        <color rgb="FF00B0F0"/>
      </top>
      <bottom/>
      <diagonal/>
    </border>
    <border>
      <left/>
      <right/>
      <top style="double">
        <color rgb="FF00B0F0"/>
      </top>
      <bottom/>
      <diagonal/>
    </border>
    <border>
      <left/>
      <right/>
      <top style="thin">
        <color theme="8" tint="-0.499984740745262"/>
      </top>
      <bottom/>
      <diagonal/>
    </border>
    <border>
      <left style="double">
        <color rgb="FF00B0F0"/>
      </left>
      <right style="double">
        <color rgb="FF00B0F0"/>
      </right>
      <top style="double">
        <color rgb="FF00B0F0"/>
      </top>
      <bottom style="double">
        <color rgb="FF00B0F0"/>
      </bottom>
      <diagonal/>
    </border>
    <border>
      <left/>
      <right style="double">
        <color rgb="FF00B0F0"/>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double">
        <color rgb="FF00B0F0"/>
      </left>
      <right style="double">
        <color rgb="FF00B0F0"/>
      </right>
      <top style="double">
        <color rgb="FF00B0F0"/>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double">
        <color rgb="FF00B0F0"/>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theme="8" tint="-0.499984740745262"/>
      </bottom>
      <diagonal/>
    </border>
    <border>
      <left/>
      <right/>
      <top/>
      <bottom style="thin">
        <color theme="8" tint="-0.499984740745262"/>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applyNumberFormat="0" applyFill="0" applyBorder="0" applyAlignment="0" applyProtection="0"/>
  </cellStyleXfs>
  <cellXfs count="96">
    <xf numFmtId="0" fontId="0" fillId="0" borderId="0" xfId="0"/>
    <xf numFmtId="0" fontId="0" fillId="0" borderId="0" xfId="0" applyAlignment="1">
      <alignment vertical="center"/>
    </xf>
    <xf numFmtId="0" fontId="0" fillId="0" borderId="0" xfId="0" applyAlignment="1">
      <alignment horizontal="center" vertical="center"/>
    </xf>
    <xf numFmtId="10" fontId="0" fillId="0" borderId="0" xfId="3" applyNumberFormat="1" applyFont="1" applyAlignment="1">
      <alignment vertical="center"/>
    </xf>
    <xf numFmtId="164" fontId="0" fillId="0" borderId="0" xfId="1" applyNumberFormat="1" applyFont="1" applyAlignment="1">
      <alignment vertical="center"/>
    </xf>
    <xf numFmtId="3" fontId="0" fillId="0" borderId="0" xfId="0" applyNumberFormat="1" applyAlignment="1">
      <alignment vertical="center"/>
    </xf>
    <xf numFmtId="44" fontId="0" fillId="0" borderId="0" xfId="2" applyFont="1" applyAlignment="1">
      <alignment vertical="center"/>
    </xf>
    <xf numFmtId="0" fontId="2" fillId="0" borderId="0" xfId="0" applyFont="1" applyAlignment="1">
      <alignment horizontal="center" vertical="center"/>
    </xf>
    <xf numFmtId="9" fontId="0" fillId="0" borderId="0" xfId="3" applyFont="1" applyAlignment="1">
      <alignment horizontal="center" vertical="center"/>
    </xf>
    <xf numFmtId="0" fontId="10" fillId="0" borderId="6" xfId="4" applyFont="1" applyBorder="1" applyAlignment="1">
      <alignment vertical="center"/>
    </xf>
    <xf numFmtId="10" fontId="5" fillId="2" borderId="10" xfId="3" applyNumberFormat="1" applyFont="1" applyFill="1" applyBorder="1" applyAlignment="1" applyProtection="1">
      <alignment horizontal="center" vertical="center"/>
    </xf>
    <xf numFmtId="165" fontId="5" fillId="2" borderId="17" xfId="4" applyNumberFormat="1" applyFont="1" applyFill="1" applyBorder="1" applyAlignment="1" applyProtection="1">
      <alignment horizontal="center" vertical="center"/>
      <protection locked="0"/>
    </xf>
    <xf numFmtId="0" fontId="5" fillId="2" borderId="17" xfId="4" applyNumberFormat="1" applyFont="1" applyFill="1" applyBorder="1" applyAlignment="1" applyProtection="1">
      <alignment horizontal="center" vertical="center"/>
      <protection locked="0"/>
    </xf>
    <xf numFmtId="0" fontId="5" fillId="2" borderId="10" xfId="4" applyNumberFormat="1" applyFont="1" applyFill="1" applyBorder="1" applyAlignment="1" applyProtection="1">
      <alignment horizontal="center" vertical="center"/>
      <protection locked="0"/>
    </xf>
    <xf numFmtId="2" fontId="12" fillId="0" borderId="18" xfId="2" applyNumberFormat="1" applyFont="1" applyBorder="1" applyAlignment="1" applyProtection="1">
      <alignment horizontal="center"/>
    </xf>
    <xf numFmtId="2" fontId="14" fillId="0" borderId="19" xfId="2" applyNumberFormat="1" applyFont="1" applyBorder="1" applyAlignment="1" applyProtection="1">
      <alignment horizontal="center"/>
    </xf>
    <xf numFmtId="2" fontId="12" fillId="0" borderId="15" xfId="2" applyNumberFormat="1" applyFont="1" applyBorder="1" applyAlignment="1" applyProtection="1">
      <alignment horizontal="center"/>
    </xf>
    <xf numFmtId="0" fontId="3" fillId="0" borderId="0" xfId="0" applyFont="1" applyAlignment="1">
      <alignment horizontal="center" vertical="center"/>
    </xf>
    <xf numFmtId="165" fontId="13" fillId="2" borderId="17" xfId="4" applyNumberFormat="1" applyFont="1" applyFill="1" applyBorder="1" applyAlignment="1" applyProtection="1">
      <alignment horizontal="center" vertical="center"/>
      <protection locked="0"/>
    </xf>
    <xf numFmtId="2" fontId="0" fillId="0" borderId="0" xfId="0" applyNumberFormat="1" applyAlignment="1">
      <alignment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 fontId="12" fillId="4" borderId="19" xfId="2" applyNumberFormat="1" applyFont="1" applyFill="1" applyBorder="1" applyAlignment="1" applyProtection="1">
      <alignment horizontal="center"/>
    </xf>
    <xf numFmtId="0" fontId="2" fillId="0" borderId="0" xfId="0" applyFont="1" applyAlignment="1">
      <alignment vertical="center"/>
    </xf>
    <xf numFmtId="10" fontId="0" fillId="0" borderId="0" xfId="0" applyNumberFormat="1" applyAlignment="1">
      <alignment vertical="center"/>
    </xf>
    <xf numFmtId="10" fontId="17" fillId="0" borderId="0" xfId="0" applyNumberFormat="1" applyFont="1" applyAlignment="1">
      <alignment horizontal="center" vertical="center"/>
    </xf>
    <xf numFmtId="44" fontId="3" fillId="0" borderId="0" xfId="2" applyFont="1" applyAlignment="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2" fontId="21" fillId="2" borderId="17" xfId="4" applyNumberFormat="1" applyFont="1" applyFill="1" applyBorder="1" applyAlignment="1" applyProtection="1">
      <alignment horizontal="center" vertical="center"/>
    </xf>
    <xf numFmtId="0" fontId="11" fillId="0" borderId="9" xfId="4" applyFont="1" applyBorder="1" applyAlignment="1" applyProtection="1">
      <alignment horizontal="left" vertical="center"/>
    </xf>
    <xf numFmtId="165" fontId="21" fillId="2" borderId="17" xfId="4" applyNumberFormat="1" applyFont="1" applyFill="1" applyBorder="1" applyAlignment="1" applyProtection="1">
      <alignment horizontal="center" vertical="center"/>
    </xf>
    <xf numFmtId="0" fontId="2" fillId="0" borderId="0" xfId="0" applyFont="1" applyAlignment="1" applyProtection="1">
      <alignment horizontal="center" vertical="center"/>
    </xf>
    <xf numFmtId="0" fontId="0" fillId="0" borderId="0" xfId="0" applyAlignment="1" applyProtection="1">
      <alignment horizontal="left" vertical="center"/>
    </xf>
    <xf numFmtId="165" fontId="21" fillId="2" borderId="10" xfId="4" applyNumberFormat="1" applyFont="1" applyFill="1" applyBorder="1" applyAlignment="1" applyProtection="1">
      <alignment horizontal="center" vertical="center"/>
    </xf>
    <xf numFmtId="0" fontId="11" fillId="0" borderId="0" xfId="4" applyFont="1" applyBorder="1" applyAlignment="1" applyProtection="1">
      <alignment horizontal="left" vertical="center"/>
    </xf>
    <xf numFmtId="0" fontId="16" fillId="0" borderId="0" xfId="4" applyFont="1" applyAlignment="1" applyProtection="1">
      <alignment horizontal="center" vertical="center" wrapText="1"/>
    </xf>
    <xf numFmtId="0" fontId="16" fillId="0" borderId="0" xfId="4" applyFont="1" applyBorder="1" applyAlignment="1" applyProtection="1">
      <alignment horizontal="center" vertical="center" wrapText="1"/>
    </xf>
    <xf numFmtId="0" fontId="11" fillId="0" borderId="31" xfId="4" applyFont="1" applyBorder="1" applyAlignment="1" applyProtection="1">
      <alignment horizontal="center"/>
    </xf>
    <xf numFmtId="10" fontId="19" fillId="0" borderId="0" xfId="4" applyNumberFormat="1" applyFont="1" applyAlignment="1" applyProtection="1">
      <alignment horizontal="center" vertical="center"/>
    </xf>
    <xf numFmtId="9" fontId="12" fillId="0" borderId="15" xfId="4" applyNumberFormat="1" applyFont="1" applyBorder="1" applyAlignment="1" applyProtection="1">
      <alignment horizontal="center" vertical="center" wrapText="1"/>
    </xf>
    <xf numFmtId="0" fontId="11" fillId="0" borderId="19" xfId="4" applyFont="1" applyBorder="1" applyAlignment="1" applyProtection="1">
      <alignment horizontal="center"/>
    </xf>
    <xf numFmtId="0" fontId="11" fillId="0" borderId="18" xfId="4" applyFont="1" applyBorder="1" applyAlignment="1" applyProtection="1">
      <alignment horizontal="center"/>
    </xf>
    <xf numFmtId="0" fontId="11" fillId="0" borderId="15" xfId="4" applyFont="1" applyBorder="1" applyAlignment="1" applyProtection="1">
      <alignment horizontal="center"/>
    </xf>
    <xf numFmtId="4" fontId="8" fillId="3" borderId="4" xfId="5" applyNumberFormat="1" applyFont="1" applyFill="1" applyBorder="1" applyAlignment="1" applyProtection="1">
      <alignment horizontal="center" vertical="center"/>
    </xf>
    <xf numFmtId="9" fontId="5" fillId="2" borderId="7" xfId="3" applyFont="1" applyFill="1" applyBorder="1" applyAlignment="1" applyProtection="1">
      <alignment horizontal="center" vertical="center"/>
    </xf>
    <xf numFmtId="0" fontId="23" fillId="0" borderId="0" xfId="4" applyFont="1" applyAlignment="1" applyProtection="1">
      <alignment vertical="center"/>
    </xf>
    <xf numFmtId="0" fontId="0" fillId="0" borderId="0" xfId="0" applyAlignment="1" applyProtection="1">
      <alignment horizontal="center" vertical="center"/>
    </xf>
    <xf numFmtId="0" fontId="18" fillId="0" borderId="0" xfId="4" applyFont="1" applyAlignment="1" applyProtection="1">
      <alignment horizontal="center" vertical="center" wrapText="1"/>
    </xf>
    <xf numFmtId="0" fontId="18" fillId="0" borderId="0" xfId="4" applyFont="1" applyBorder="1" applyAlignment="1" applyProtection="1">
      <alignment horizontal="center" vertical="center" wrapText="1"/>
    </xf>
    <xf numFmtId="8" fontId="0" fillId="0" borderId="0" xfId="0" applyNumberFormat="1" applyAlignment="1">
      <alignment vertical="center"/>
    </xf>
    <xf numFmtId="0" fontId="24" fillId="0" borderId="0" xfId="0" applyFont="1" applyAlignment="1">
      <alignment vertical="center"/>
    </xf>
    <xf numFmtId="2" fontId="12" fillId="0" borderId="33" xfId="2" applyNumberFormat="1" applyFont="1" applyBorder="1" applyAlignment="1" applyProtection="1">
      <alignment horizontal="center"/>
    </xf>
    <xf numFmtId="0" fontId="3" fillId="0" borderId="0" xfId="0" applyFont="1" applyAlignment="1" applyProtection="1">
      <alignment vertical="center"/>
    </xf>
    <xf numFmtId="10" fontId="23" fillId="0" borderId="0" xfId="4" applyNumberFormat="1" applyFont="1" applyAlignment="1" applyProtection="1">
      <alignment horizontal="center" vertical="center"/>
    </xf>
    <xf numFmtId="0" fontId="0" fillId="0" borderId="0" xfId="0" applyAlignment="1" applyProtection="1">
      <alignment horizontal="center" vertical="center"/>
    </xf>
    <xf numFmtId="0" fontId="4" fillId="0" borderId="0" xfId="5" applyFont="1"/>
    <xf numFmtId="167" fontId="0" fillId="0" borderId="0" xfId="0" applyNumberFormat="1" applyAlignment="1">
      <alignment vertical="center"/>
    </xf>
    <xf numFmtId="0" fontId="9" fillId="0" borderId="0" xfId="6" applyFont="1" applyBorder="1" applyAlignment="1" applyProtection="1">
      <alignment horizontal="center" vertical="center" wrapText="1"/>
    </xf>
    <xf numFmtId="166" fontId="8" fillId="3" borderId="4" xfId="5" applyNumberFormat="1" applyFont="1" applyFill="1" applyBorder="1" applyAlignment="1" applyProtection="1">
      <alignment horizontal="center" vertical="center"/>
      <protection locked="0"/>
    </xf>
    <xf numFmtId="168" fontId="0" fillId="0" borderId="0" xfId="0" applyNumberFormat="1" applyAlignment="1">
      <alignment vertical="center"/>
    </xf>
    <xf numFmtId="0" fontId="12" fillId="0" borderId="13" xfId="4" applyFont="1" applyBorder="1" applyAlignment="1" applyProtection="1">
      <alignment horizontal="center" vertical="center" wrapText="1"/>
    </xf>
    <xf numFmtId="0" fontId="12" fillId="0" borderId="20" xfId="4" applyFont="1" applyBorder="1" applyAlignment="1" applyProtection="1">
      <alignment horizontal="center" vertical="center" wrapText="1"/>
    </xf>
    <xf numFmtId="0" fontId="12" fillId="0" borderId="15" xfId="4" applyFont="1" applyBorder="1" applyAlignment="1" applyProtection="1">
      <alignment horizontal="center" vertical="center" wrapText="1"/>
    </xf>
    <xf numFmtId="0" fontId="12" fillId="0" borderId="14" xfId="4" applyFont="1" applyBorder="1" applyAlignment="1" applyProtection="1">
      <alignment horizontal="center" vertical="center" wrapText="1"/>
    </xf>
    <xf numFmtId="0" fontId="12" fillId="0" borderId="21" xfId="4" applyFont="1" applyBorder="1" applyAlignment="1" applyProtection="1">
      <alignment horizontal="center" vertical="center" wrapText="1"/>
    </xf>
    <xf numFmtId="0" fontId="12" fillId="0" borderId="16" xfId="4" applyFont="1" applyBorder="1" applyAlignment="1" applyProtection="1">
      <alignment horizontal="center" vertical="center" wrapText="1"/>
    </xf>
    <xf numFmtId="0" fontId="15" fillId="0" borderId="0" xfId="0" applyFont="1" applyAlignment="1" applyProtection="1">
      <alignment horizontal="center" vertical="center"/>
    </xf>
    <xf numFmtId="0" fontId="20" fillId="0" borderId="23" xfId="4" applyFont="1" applyBorder="1" applyAlignment="1" applyProtection="1">
      <alignment horizontal="left" vertical="center" wrapText="1"/>
    </xf>
    <xf numFmtId="0" fontId="20" fillId="0" borderId="24" xfId="4" applyFont="1" applyBorder="1" applyAlignment="1" applyProtection="1">
      <alignment horizontal="left" vertical="center" wrapText="1"/>
    </xf>
    <xf numFmtId="0" fontId="20" fillId="0" borderId="25" xfId="4" applyFont="1" applyBorder="1" applyAlignment="1" applyProtection="1">
      <alignment horizontal="left" vertical="center" wrapText="1"/>
    </xf>
    <xf numFmtId="0" fontId="20" fillId="0" borderId="26" xfId="4" applyFont="1" applyBorder="1" applyAlignment="1" applyProtection="1">
      <alignment horizontal="left" vertical="center" wrapText="1"/>
    </xf>
    <xf numFmtId="0" fontId="20" fillId="0" borderId="0" xfId="4" applyFont="1" applyBorder="1" applyAlignment="1" applyProtection="1">
      <alignment horizontal="left" vertical="center" wrapText="1"/>
    </xf>
    <xf numFmtId="0" fontId="20" fillId="0" borderId="27" xfId="4" applyFont="1" applyBorder="1" applyAlignment="1" applyProtection="1">
      <alignment horizontal="left" vertical="center" wrapText="1"/>
    </xf>
    <xf numFmtId="0" fontId="20" fillId="0" borderId="28" xfId="4" applyFont="1" applyBorder="1" applyAlignment="1" applyProtection="1">
      <alignment horizontal="left" vertical="center" wrapText="1"/>
    </xf>
    <xf numFmtId="0" fontId="20" fillId="0" borderId="29" xfId="4" applyFont="1" applyBorder="1" applyAlignment="1" applyProtection="1">
      <alignment horizontal="left" vertical="center" wrapText="1"/>
    </xf>
    <xf numFmtId="0" fontId="20" fillId="0" borderId="30" xfId="4" applyFont="1" applyBorder="1" applyAlignment="1" applyProtection="1">
      <alignment horizontal="left" vertical="center" wrapText="1"/>
    </xf>
    <xf numFmtId="0" fontId="10" fillId="0" borderId="9" xfId="4" applyFont="1" applyBorder="1" applyAlignment="1">
      <alignment horizontal="left" vertical="center"/>
    </xf>
    <xf numFmtId="0" fontId="10" fillId="0" borderId="32" xfId="4" applyFont="1" applyBorder="1" applyAlignment="1">
      <alignment horizontal="left" vertical="center"/>
    </xf>
    <xf numFmtId="0" fontId="22" fillId="0" borderId="0" xfId="0" applyFont="1" applyAlignment="1" applyProtection="1">
      <alignment horizontal="center" vertical="center"/>
    </xf>
    <xf numFmtId="0" fontId="7" fillId="0" borderId="0" xfId="5" applyFont="1" applyBorder="1" applyAlignment="1">
      <alignment horizontal="center" vertical="center"/>
    </xf>
    <xf numFmtId="0" fontId="7" fillId="0" borderId="5" xfId="5" applyFont="1" applyBorder="1" applyAlignment="1">
      <alignment horizontal="center" vertical="center"/>
    </xf>
    <xf numFmtId="0" fontId="7" fillId="0" borderId="0" xfId="5" applyFont="1" applyBorder="1" applyAlignment="1" applyProtection="1">
      <alignment horizontal="center" vertical="center"/>
    </xf>
    <xf numFmtId="0" fontId="7" fillId="0" borderId="5" xfId="5" applyFont="1" applyBorder="1" applyAlignment="1" applyProtection="1">
      <alignment horizontal="center" vertical="center"/>
    </xf>
    <xf numFmtId="0" fontId="7" fillId="0" borderId="0" xfId="5" applyFont="1" applyAlignment="1" applyProtection="1">
      <alignment horizontal="center" vertical="center"/>
    </xf>
    <xf numFmtId="0" fontId="0" fillId="0" borderId="0" xfId="0" applyAlignment="1" applyProtection="1">
      <alignment horizontal="center" vertical="center"/>
    </xf>
    <xf numFmtId="0" fontId="18" fillId="0" borderId="0" xfId="4" applyFont="1" applyAlignment="1" applyProtection="1">
      <alignment horizontal="center" vertical="center" wrapText="1"/>
    </xf>
    <xf numFmtId="0" fontId="18" fillId="0" borderId="22" xfId="4" applyFont="1" applyBorder="1" applyAlignment="1" applyProtection="1">
      <alignment horizontal="center" vertical="center" wrapText="1"/>
    </xf>
    <xf numFmtId="165" fontId="5" fillId="2" borderId="1" xfId="4" applyNumberFormat="1" applyFont="1" applyFill="1" applyBorder="1" applyAlignment="1" applyProtection="1">
      <alignment horizontal="center" vertical="center"/>
    </xf>
    <xf numFmtId="165" fontId="5" fillId="2" borderId="2" xfId="4" applyNumberFormat="1" applyFont="1" applyFill="1" applyBorder="1" applyAlignment="1" applyProtection="1">
      <alignment horizontal="center" vertical="center"/>
    </xf>
    <xf numFmtId="165" fontId="5" fillId="2" borderId="3" xfId="4" applyNumberFormat="1" applyFont="1" applyFill="1" applyBorder="1" applyAlignment="1" applyProtection="1">
      <alignment horizontal="center" vertical="center"/>
    </xf>
    <xf numFmtId="0" fontId="0" fillId="0" borderId="8" xfId="0" applyBorder="1" applyAlignment="1" applyProtection="1">
      <alignment horizontal="center" vertical="center"/>
    </xf>
    <xf numFmtId="0" fontId="10" fillId="0" borderId="12" xfId="4" applyFont="1" applyBorder="1" applyAlignment="1" applyProtection="1">
      <alignment horizontal="center" vertical="center"/>
    </xf>
    <xf numFmtId="0" fontId="10" fillId="0" borderId="11" xfId="4" applyFont="1" applyBorder="1" applyAlignment="1" applyProtection="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7">
    <cellStyle name="Hipervínculo" xfId="6" builtinId="8"/>
    <cellStyle name="Millares" xfId="1" builtinId="3"/>
    <cellStyle name="Moneda" xfId="2" builtinId="4"/>
    <cellStyle name="Normal" xfId="0" builtinId="0"/>
    <cellStyle name="Normal_HIPONACION IIIa" xfId="5" xr:uid="{00D19EF4-0561-44DB-A491-A84FBBE5D60C}"/>
    <cellStyle name="Normal_Simulador Personales último" xfId="4" xr:uid="{2BEABA0B-030B-472A-8D78-DA9225F569E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1676</xdr:colOff>
      <xdr:row>4</xdr:row>
      <xdr:rowOff>51675</xdr:rowOff>
    </xdr:from>
    <xdr:to>
      <xdr:col>10</xdr:col>
      <xdr:colOff>679173</xdr:colOff>
      <xdr:row>6</xdr:row>
      <xdr:rowOff>80250</xdr:rowOff>
    </xdr:to>
    <xdr:sp macro="" textlink="">
      <xdr:nvSpPr>
        <xdr:cNvPr id="2" name="Rectángulo redondeado 5">
          <a:extLst>
            <a:ext uri="{FF2B5EF4-FFF2-40B4-BE49-F238E27FC236}">
              <a16:creationId xmlns:a16="http://schemas.microsoft.com/office/drawing/2014/main" id="{C85A346F-72CB-4504-8F6D-388335E5B1A3}"/>
            </a:ext>
          </a:extLst>
        </xdr:cNvPr>
        <xdr:cNvSpPr/>
      </xdr:nvSpPr>
      <xdr:spPr bwMode="auto">
        <a:xfrm>
          <a:off x="179476" y="788275"/>
          <a:ext cx="14691947" cy="396875"/>
        </a:xfrm>
        <a:prstGeom prst="roundRect">
          <a:avLst/>
        </a:prstGeom>
        <a:solidFill>
          <a:srgbClr val="006699"/>
        </a:solidFill>
        <a:ln w="9525" cap="flat" cmpd="sng" algn="ctr">
          <a:noFill/>
          <a:prstDash val="solid"/>
          <a:round/>
          <a:headEnd type="none" w="med" len="med"/>
          <a:tailEnd type="none" w="med" len="med"/>
        </a:ln>
        <a:effectLst>
          <a:outerShdw blurRad="50800" dist="25400" dir="5400000" algn="t" rotWithShape="0">
            <a:prstClr val="black">
              <a:alpha val="40000"/>
            </a:prstClr>
          </a:outerShdw>
        </a:effectLst>
        <a:scene3d>
          <a:camera prst="orthographicFront"/>
          <a:lightRig rig="threePt" dir="t"/>
        </a:scene3d>
        <a:sp3d prstMaterial="plastic">
          <a:bevelT/>
        </a:sp3d>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AR" sz="1800">
              <a:solidFill>
                <a:schemeClr val="bg1">
                  <a:lumMod val="95000"/>
                </a:schemeClr>
              </a:solidFill>
              <a:latin typeface="Consolas" panose="020B0609020204030204" pitchFamily="49" charset="0"/>
              <a:ea typeface="+mn-ea"/>
              <a:cs typeface="Consolas" panose="020B0609020204030204" pitchFamily="49" charset="0"/>
            </a:rPr>
            <a:t>Créditos Hipotecarios para la Vivienda en</a:t>
          </a:r>
          <a:r>
            <a:rPr lang="es-AR" sz="1800" baseline="0">
              <a:solidFill>
                <a:schemeClr val="bg1">
                  <a:lumMod val="95000"/>
                </a:schemeClr>
              </a:solidFill>
              <a:latin typeface="Consolas" panose="020B0609020204030204" pitchFamily="49" charset="0"/>
              <a:ea typeface="+mn-ea"/>
              <a:cs typeface="Consolas" panose="020B0609020204030204" pitchFamily="49" charset="0"/>
            </a:rPr>
            <a:t> UVA - </a:t>
          </a:r>
          <a:r>
            <a:rPr lang="es-AR" sz="1800">
              <a:solidFill>
                <a:schemeClr val="bg1">
                  <a:lumMod val="95000"/>
                </a:schemeClr>
              </a:solidFill>
              <a:latin typeface="Consolas" panose="020B0609020204030204" pitchFamily="49" charset="0"/>
              <a:ea typeface="+mn-ea"/>
              <a:cs typeface="Consolas" panose="020B0609020204030204" pitchFamily="49" charset="0"/>
            </a:rPr>
            <a:t>REG N° 800 </a:t>
          </a:r>
        </a:p>
      </xdr:txBody>
    </xdr:sp>
    <xdr:clientData/>
  </xdr:twoCellAnchor>
  <xdr:twoCellAnchor editAs="absolute">
    <xdr:from>
      <xdr:col>1</xdr:col>
      <xdr:colOff>95250</xdr:colOff>
      <xdr:row>0</xdr:row>
      <xdr:rowOff>57150</xdr:rowOff>
    </xdr:from>
    <xdr:to>
      <xdr:col>2</xdr:col>
      <xdr:colOff>1668463</xdr:colOff>
      <xdr:row>4</xdr:row>
      <xdr:rowOff>19183</xdr:rowOff>
    </xdr:to>
    <xdr:pic>
      <xdr:nvPicPr>
        <xdr:cNvPr id="3" name="Imagen 1">
          <a:extLst>
            <a:ext uri="{FF2B5EF4-FFF2-40B4-BE49-F238E27FC236}">
              <a16:creationId xmlns:a16="http://schemas.microsoft.com/office/drawing/2014/main" id="{4EB95890-F65E-4C98-8523-2D85927F7A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1" t="5020" r="511" b="2278"/>
        <a:stretch/>
      </xdr:blipFill>
      <xdr:spPr bwMode="auto">
        <a:xfrm>
          <a:off x="273050" y="57150"/>
          <a:ext cx="1992313" cy="698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refreshOnLoad="1" connectionId="1" xr16:uid="{669DF87D-2635-4841-A310-E50BA5E96C55}" autoFormatId="16" applyNumberFormats="0" applyBorderFormats="0" applyFontFormats="0" applyPatternFormats="0" applyAlignmentFormats="0" applyWidthHeightFormats="0">
  <queryTableRefresh nextId="4">
    <queryTableFields count="3">
      <queryTableField id="1" name="Column1.descripcion" tableColumnId="1"/>
      <queryTableField id="2" name="Column1.fecha" tableColumnId="2"/>
      <queryTableField id="3" name="Column1.valor"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F8A333-88B2-4D18-866A-3D949F7A2699}" name="Valor_UVA" displayName="Valor_UVA" ref="A1:C2" tableType="queryTable" totalsRowShown="0">
  <autoFilter ref="A1:C2" xr:uid="{6CF8A333-88B2-4D18-866A-3D949F7A2699}"/>
  <tableColumns count="3">
    <tableColumn id="1" xr3:uid="{94EDEF58-3E13-4D5B-936F-697CAFC51F38}" uniqueName="1" name="Column1.descripcion" queryTableFieldId="1"/>
    <tableColumn id="2" xr3:uid="{FAE384AC-9BBB-4ECC-8B61-733A3CCD3DD1}" uniqueName="2" name="Column1.fecha" queryTableFieldId="2"/>
    <tableColumn id="3" xr3:uid="{6105400D-1224-41AF-B29C-ED568BDECB8E}" uniqueName="3" name="Column1.valor" queryTableFieldId="3"/>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E077B-33CC-4EC0-B0C2-FEA32748BC55}">
  <sheetPr codeName="Hoja1">
    <pageSetUpPr fitToPage="1"/>
  </sheetPr>
  <dimension ref="A7:R395"/>
  <sheetViews>
    <sheetView showGridLines="0" showRowColHeaders="0" tabSelected="1" zoomScale="85" zoomScaleNormal="85" workbookViewId="0">
      <selection activeCell="D8" sqref="D8"/>
    </sheetView>
  </sheetViews>
  <sheetFormatPr baseColWidth="10" defaultColWidth="11.42578125" defaultRowHeight="15" x14ac:dyDescent="0.25"/>
  <cols>
    <col min="1" max="1" width="2.5703125" style="23" customWidth="1"/>
    <col min="2" max="2" width="6" style="1" bestFit="1" customWidth="1"/>
    <col min="3" max="3" width="41.42578125" style="1" bestFit="1" customWidth="1"/>
    <col min="4" max="4" width="46.42578125" style="1" customWidth="1"/>
    <col min="5" max="5" width="24.85546875" style="1" bestFit="1" customWidth="1"/>
    <col min="6" max="6" width="18.5703125" style="1" customWidth="1"/>
    <col min="7" max="7" width="20.28515625" style="1" bestFit="1" customWidth="1"/>
    <col min="8" max="8" width="19.42578125" style="1" customWidth="1"/>
    <col min="9" max="9" width="17.42578125" style="1" customWidth="1"/>
    <col min="10" max="10" width="24.7109375" style="1" bestFit="1" customWidth="1"/>
    <col min="11" max="11" width="16.85546875" style="1" customWidth="1"/>
    <col min="12" max="13" width="11.42578125" style="1" hidden="1" customWidth="1"/>
    <col min="14" max="14" width="14.140625" style="1" customWidth="1"/>
    <col min="15" max="18" width="11.42578125" style="1" customWidth="1"/>
    <col min="19" max="16384" width="11.42578125" style="1"/>
  </cols>
  <sheetData>
    <row r="7" spans="2:14" ht="15.75" thickBot="1" x14ac:dyDescent="0.3"/>
    <row r="8" spans="2:14" ht="20.25" thickTop="1" thickBot="1" x14ac:dyDescent="0.3">
      <c r="C8" s="9" t="s">
        <v>3</v>
      </c>
      <c r="D8" s="18" t="s">
        <v>7</v>
      </c>
      <c r="H8" s="80" t="s">
        <v>56</v>
      </c>
      <c r="I8" s="81"/>
      <c r="J8" s="59" cm="1">
        <f t="array" ref="J8">+Valor_UVA[Column1.valor]</f>
        <v>1057.1400000000001</v>
      </c>
      <c r="K8" s="58"/>
    </row>
    <row r="9" spans="2:14" ht="20.25" thickTop="1" thickBot="1" x14ac:dyDescent="0.3">
      <c r="C9" s="9" t="s">
        <v>30</v>
      </c>
      <c r="D9" s="11">
        <v>169142400.00000003</v>
      </c>
      <c r="E9" s="67" t="str">
        <f>+IF(J9&gt;290000,"Valor Máximo de Vivienda 290.000 UVAs",IF(AND($D$8=Variables!$B$5,$J$9&gt;160000),"Monto Máximo 160.000 UVAs"," "))</f>
        <v xml:space="preserve"> </v>
      </c>
      <c r="F9" s="67"/>
      <c r="G9" s="67"/>
      <c r="H9" s="82" t="s">
        <v>36</v>
      </c>
      <c r="I9" s="83"/>
      <c r="J9" s="44">
        <f>+D9/J8</f>
        <v>160000</v>
      </c>
      <c r="K9" s="17">
        <f>+D11*12</f>
        <v>360</v>
      </c>
      <c r="L9" s="51"/>
    </row>
    <row r="10" spans="2:14" ht="20.25" thickTop="1" thickBot="1" x14ac:dyDescent="0.25">
      <c r="C10" s="9" t="s">
        <v>31</v>
      </c>
      <c r="D10" s="11">
        <v>126856800.00000001</v>
      </c>
      <c r="E10" s="67" t="str">
        <f>+IF(AND($D$8=Variables!$B$5,$J$10&gt;90000),"Monto Máximo 90.000 UVAs",IF(J10&gt;120000,"Monto Máximo 120.000 UVAs",IF(J10&lt;15000,"Monto Mínimo 15.000 UVAs"," ")))</f>
        <v xml:space="preserve"> </v>
      </c>
      <c r="F10" s="67"/>
      <c r="G10" s="67"/>
      <c r="H10" s="84" t="s">
        <v>37</v>
      </c>
      <c r="I10" s="83"/>
      <c r="J10" s="44">
        <f>+$D$10/$J$8</f>
        <v>120000</v>
      </c>
      <c r="K10" s="56"/>
    </row>
    <row r="11" spans="2:14" ht="20.25" thickTop="1" thickBot="1" x14ac:dyDescent="0.3">
      <c r="C11" s="9" t="s">
        <v>38</v>
      </c>
      <c r="D11" s="12">
        <v>30</v>
      </c>
      <c r="E11" s="67" t="str">
        <f>+IF(AND($D$8=Variables!$B$5,D11&gt;15),"Verificar Plazo destino Ampliación","")</f>
        <v/>
      </c>
      <c r="F11" s="67"/>
      <c r="G11" s="67"/>
      <c r="H11" s="27"/>
      <c r="I11" s="27"/>
      <c r="J11" s="28" t="s">
        <v>53</v>
      </c>
    </row>
    <row r="12" spans="2:14" ht="20.25" thickTop="1" thickBot="1" x14ac:dyDescent="0.3">
      <c r="C12" s="9" t="s">
        <v>0</v>
      </c>
      <c r="D12" s="12" t="s">
        <v>57</v>
      </c>
      <c r="E12" s="28"/>
      <c r="F12" s="55"/>
      <c r="G12" s="28"/>
      <c r="H12" s="27"/>
      <c r="I12" s="27"/>
      <c r="J12" s="27"/>
      <c r="N12" s="2"/>
    </row>
    <row r="13" spans="2:14" ht="20.25" customHeight="1" thickTop="1" thickBot="1" x14ac:dyDescent="0.3">
      <c r="C13" s="77" t="s">
        <v>16</v>
      </c>
      <c r="D13" s="13" t="s">
        <v>57</v>
      </c>
      <c r="E13" s="67" t="str">
        <f>+IF(AND(D8=Variables!B6,'Sim Reg N° 800'!D13="si"),"Destino no permite tope CVS",IF(AND(D12="NO",D13="SI"),"Titulares deben cobrar haberes en BNA",IF(AND(D13="SI",J9&gt;160000),"Propiedad debe valer hasta 160.000 UVAs","")))</f>
        <v/>
      </c>
      <c r="F13" s="67"/>
      <c r="G13" s="67"/>
      <c r="H13" s="27"/>
      <c r="J13" s="28"/>
    </row>
    <row r="14" spans="2:14" ht="20.25" thickTop="1" thickBot="1" x14ac:dyDescent="0.3">
      <c r="C14" s="78"/>
      <c r="D14" s="10">
        <f>+IF(AND(D13="SI",D19="No"),1.5%,"")</f>
        <v>1.4999999999999999E-2</v>
      </c>
      <c r="E14" s="79" t="str">
        <f>+IF(J14&gt;75%,"Máxima Proporción de Apoyo 75%",IF(AND(D8=Variables!B5,'Sim Reg N° 800'!J14&gt;50%),"Máxima Proporción de Apoyo destino Ampliación 50%",""))</f>
        <v/>
      </c>
      <c r="F14" s="79"/>
      <c r="G14" s="79"/>
      <c r="H14" s="92" t="s">
        <v>32</v>
      </c>
      <c r="I14" s="93"/>
      <c r="J14" s="45">
        <f>J10/$J$9</f>
        <v>0.75</v>
      </c>
    </row>
    <row r="15" spans="2:14" ht="20.25" thickTop="1" thickBot="1" x14ac:dyDescent="0.3">
      <c r="C15" s="9" t="s">
        <v>33</v>
      </c>
      <c r="D15" s="13" t="s">
        <v>57</v>
      </c>
      <c r="E15" s="28"/>
      <c r="F15" s="55"/>
      <c r="G15" s="28"/>
      <c r="H15" s="88" t="s">
        <v>47</v>
      </c>
      <c r="I15" s="89"/>
      <c r="J15" s="90"/>
    </row>
    <row r="16" spans="2:14" ht="13.5" customHeight="1" thickTop="1" thickBot="1" x14ac:dyDescent="0.3">
      <c r="B16" s="27"/>
      <c r="C16" s="27"/>
      <c r="D16" s="53">
        <f>+IF(D8=Variables!B6,Variables!C26,IF(AND(D19="Si",D12="Si",J9&lt;=160000),Variables!$C$25,IF(AND(D19="No",D12="Si",D13="Si",J9&lt;=160000),Variables!$C$25+Variables!$C$27,IF(AND(D19="No",D13="No",D12="Si",J9&lt;=160000),Variables!$C$25,Variables!$C$26))))</f>
        <v>0.06</v>
      </c>
      <c r="E16" s="28"/>
      <c r="F16" s="55"/>
      <c r="G16" s="28"/>
      <c r="H16" s="85" t="s">
        <v>54</v>
      </c>
      <c r="I16" s="85"/>
      <c r="J16" s="29">
        <f>+IF($D$8=Variables!$B$5,'Sim Reg N° 800'!J47,IF(AND($D$8=Variables!$B$4,D15="NO"),J53,IF(AND($D$8=Variables!$B$4,$D$15="SI"),J59,IF(D8=Variables!B6,'Sim Reg N° 800'!J34-I34,J40))))</f>
        <v>742.86266444567434</v>
      </c>
    </row>
    <row r="17" spans="2:17" ht="16.5" thickTop="1" thickBot="1" x14ac:dyDescent="0.3">
      <c r="B17" s="27"/>
      <c r="C17" s="30" t="s">
        <v>8</v>
      </c>
      <c r="D17" s="10">
        <f>+IF(D16=4.5%,4.5%,IF(D16=6%,4.5%,IF(D16=8%,8%)))</f>
        <v>4.4999999999999998E-2</v>
      </c>
      <c r="E17" s="28"/>
      <c r="F17" s="55"/>
      <c r="G17" s="28"/>
      <c r="H17" s="91" t="s">
        <v>55</v>
      </c>
      <c r="I17" s="91"/>
      <c r="J17" s="31">
        <f>+J16*$J$8</f>
        <v>785309.83709210029</v>
      </c>
    </row>
    <row r="18" spans="2:17" ht="24" customHeight="1" thickTop="1" thickBot="1" x14ac:dyDescent="0.3">
      <c r="B18" s="27"/>
      <c r="C18" s="46" t="s">
        <v>39</v>
      </c>
      <c r="D18" s="54">
        <f>+D17/12</f>
        <v>3.7499999999999999E-3</v>
      </c>
      <c r="E18" s="32"/>
      <c r="F18" s="32"/>
      <c r="G18" s="28"/>
      <c r="H18" s="86" t="s">
        <v>44</v>
      </c>
      <c r="I18" s="87"/>
      <c r="J18" s="31">
        <f>+J17/Variables!$C$16</f>
        <v>3141239.3483684012</v>
      </c>
    </row>
    <row r="19" spans="2:17" ht="20.25" customHeight="1" thickTop="1" thickBot="1" x14ac:dyDescent="0.3">
      <c r="B19" s="27"/>
      <c r="C19" s="46"/>
      <c r="D19" s="54" t="s">
        <v>2</v>
      </c>
      <c r="E19" s="33"/>
      <c r="F19" s="33"/>
      <c r="G19" s="28"/>
      <c r="H19" s="86" t="s">
        <v>45</v>
      </c>
      <c r="I19" s="87"/>
      <c r="J19" s="34">
        <f>+J18/2</f>
        <v>1570619.6741842006</v>
      </c>
    </row>
    <row r="20" spans="2:17" ht="20.25" customHeight="1" thickTop="1" thickBot="1" x14ac:dyDescent="0.3">
      <c r="B20" s="27"/>
      <c r="C20" s="30" t="s">
        <v>35</v>
      </c>
      <c r="D20" s="10">
        <f>0.6/1000</f>
        <v>5.9999999999999995E-4</v>
      </c>
      <c r="E20" s="33"/>
      <c r="F20" s="33"/>
      <c r="G20" s="47"/>
      <c r="H20" s="48"/>
      <c r="I20" s="49"/>
      <c r="J20" s="27"/>
    </row>
    <row r="21" spans="2:17" ht="20.25" customHeight="1" thickTop="1" thickBot="1" x14ac:dyDescent="0.3">
      <c r="B21" s="27"/>
      <c r="C21" s="35"/>
      <c r="D21" s="27"/>
      <c r="E21" s="28"/>
      <c r="F21" s="55"/>
      <c r="G21" s="28"/>
      <c r="H21" s="36"/>
      <c r="I21" s="37"/>
      <c r="J21" s="27"/>
    </row>
    <row r="22" spans="2:17" ht="20.25" customHeight="1" thickTop="1" thickBot="1" x14ac:dyDescent="0.3">
      <c r="B22" s="68" t="str">
        <f>+IF(D8=Variables!B4,Variables!D4,IF(D8=Variables!B6,Variables!D6,Variables!D3))</f>
        <v>El presente desarrollo no constituye oferta del Banco de la Nación Argentina, sólo tiene carácter informativo y orientativo para el interesado. Préstamos sujetos a las condiciones de aprobación establecidas por el Banco de la Nación Argentina
(1) La primera cuota es calculada suponiendo períodos mensuales de 30 días, su importe podría diferir en función de los días reales transcurridos entre el otorgamiento y su fecha de vencimiento.
(2) Costo Financiero Total en UVAS calculado en forma orientativa para todo el período del préstamo suponiendo cuotas mensuales periódicas cada 30 días, el mismo podría diferir en función de los días reales transcurridos entre el pago de las cuotas. El cálculo del CFT en UVAS incluye capital, intereses, seguro de incendio, e IVA de corresponder.
(3) Eximición de IVA sobre intereses conforme lo establecido en la RG AFIP 680/99.</v>
      </c>
      <c r="C22" s="69"/>
      <c r="D22" s="69"/>
      <c r="E22" s="69"/>
      <c r="F22" s="69"/>
      <c r="G22" s="70"/>
      <c r="H22" s="36"/>
      <c r="I22" s="37"/>
      <c r="J22" s="27"/>
    </row>
    <row r="23" spans="2:17" ht="20.25" customHeight="1" thickTop="1" thickBot="1" x14ac:dyDescent="0.3">
      <c r="B23" s="71"/>
      <c r="C23" s="72"/>
      <c r="D23" s="72"/>
      <c r="E23" s="72"/>
      <c r="F23" s="72"/>
      <c r="G23" s="73"/>
      <c r="H23" s="88" t="s">
        <v>50</v>
      </c>
      <c r="I23" s="89"/>
      <c r="J23" s="90"/>
    </row>
    <row r="24" spans="2:17" ht="20.25" customHeight="1" thickTop="1" thickBot="1" x14ac:dyDescent="0.25">
      <c r="B24" s="71"/>
      <c r="C24" s="72"/>
      <c r="D24" s="72"/>
      <c r="E24" s="72"/>
      <c r="F24" s="72"/>
      <c r="G24" s="73"/>
      <c r="H24" s="38" t="s">
        <v>39</v>
      </c>
      <c r="I24" s="38" t="s">
        <v>8</v>
      </c>
      <c r="J24" s="38" t="s">
        <v>46</v>
      </c>
    </row>
    <row r="25" spans="2:17" ht="20.25" customHeight="1" x14ac:dyDescent="0.25">
      <c r="B25" s="71"/>
      <c r="C25" s="72"/>
      <c r="D25" s="72"/>
      <c r="E25" s="72"/>
      <c r="F25" s="72"/>
      <c r="G25" s="73"/>
      <c r="H25" s="39">
        <f>+IF(D8&lt;&gt;Variables!B4,IRR(J33:J393),K32)</f>
        <v>5.2860852454919005E-3</v>
      </c>
      <c r="I25" s="39">
        <f>+H25*12</f>
        <v>6.3433022945902806E-2</v>
      </c>
      <c r="J25" s="39">
        <f>+ROUNDUP((1+I25/12)^(12)-1,4)</f>
        <v>6.54E-2</v>
      </c>
    </row>
    <row r="26" spans="2:17" ht="20.25" customHeight="1" x14ac:dyDescent="0.25">
      <c r="B26" s="71"/>
      <c r="C26" s="72"/>
      <c r="D26" s="72"/>
      <c r="E26" s="72"/>
      <c r="F26" s="72"/>
      <c r="G26" s="73"/>
      <c r="H26" s="27"/>
      <c r="I26" s="27"/>
      <c r="J26" s="27"/>
    </row>
    <row r="27" spans="2:17" ht="27" customHeight="1" x14ac:dyDescent="0.25">
      <c r="B27" s="71"/>
      <c r="C27" s="72"/>
      <c r="D27" s="72"/>
      <c r="E27" s="72"/>
      <c r="F27" s="72"/>
      <c r="G27" s="73"/>
      <c r="H27" s="36"/>
      <c r="I27" s="37"/>
      <c r="J27" s="27"/>
    </row>
    <row r="28" spans="2:17" ht="15.75" thickBot="1" x14ac:dyDescent="0.3">
      <c r="B28" s="74"/>
      <c r="C28" s="75"/>
      <c r="D28" s="75"/>
      <c r="E28" s="75"/>
      <c r="F28" s="75"/>
      <c r="G28" s="76"/>
      <c r="H28" s="27"/>
      <c r="I28" s="27"/>
      <c r="J28" s="27"/>
      <c r="O28" s="57"/>
    </row>
    <row r="29" spans="2:17" ht="16.5" hidden="1" thickTop="1" thickBot="1" x14ac:dyDescent="0.3">
      <c r="B29" s="27"/>
      <c r="C29" s="27"/>
      <c r="D29" s="27"/>
      <c r="E29" s="32"/>
      <c r="F29" s="32"/>
      <c r="G29" s="28"/>
      <c r="H29" s="27"/>
      <c r="I29" s="27"/>
      <c r="J29" s="27"/>
    </row>
    <row r="30" spans="2:17" ht="15" hidden="1" customHeight="1" x14ac:dyDescent="0.25">
      <c r="B30" s="61"/>
      <c r="C30" s="61" t="s">
        <v>40</v>
      </c>
      <c r="D30" s="64" t="s">
        <v>41</v>
      </c>
      <c r="E30" s="61" t="s">
        <v>42</v>
      </c>
      <c r="F30" s="61" t="s">
        <v>58</v>
      </c>
      <c r="G30" s="61" t="s">
        <v>48</v>
      </c>
      <c r="H30" s="61" t="s">
        <v>43</v>
      </c>
      <c r="I30" s="61" t="s">
        <v>35</v>
      </c>
      <c r="J30" s="61" t="s">
        <v>52</v>
      </c>
    </row>
    <row r="31" spans="2:17" hidden="1" x14ac:dyDescent="0.25">
      <c r="B31" s="62"/>
      <c r="C31" s="62"/>
      <c r="D31" s="65"/>
      <c r="E31" s="62"/>
      <c r="F31" s="62"/>
      <c r="G31" s="62"/>
      <c r="H31" s="62"/>
      <c r="I31" s="62"/>
      <c r="J31" s="62"/>
    </row>
    <row r="32" spans="2:17" ht="15.75" hidden="1" thickBot="1" x14ac:dyDescent="0.3">
      <c r="B32" s="63"/>
      <c r="C32" s="63"/>
      <c r="D32" s="66"/>
      <c r="E32" s="63"/>
      <c r="F32" s="63"/>
      <c r="G32" s="40">
        <v>0.21</v>
      </c>
      <c r="H32" s="63"/>
      <c r="I32" s="63"/>
      <c r="J32" s="63"/>
      <c r="K32" s="25">
        <f>+IRR(K33:K393)</f>
        <v>-2.0549586123497221E-3</v>
      </c>
      <c r="Q32" s="24"/>
    </row>
    <row r="33" spans="1:18" hidden="1" x14ac:dyDescent="0.2">
      <c r="B33" s="41">
        <v>0</v>
      </c>
      <c r="C33" s="22">
        <f>+IF($D$8=Variables!$B$4,J10*0.3,J10)</f>
        <v>120000</v>
      </c>
      <c r="D33" s="15"/>
      <c r="E33" s="15"/>
      <c r="F33" s="15"/>
      <c r="G33" s="15"/>
      <c r="H33" s="15"/>
      <c r="I33" s="15"/>
      <c r="J33" s="15">
        <f>-C33</f>
        <v>-120000</v>
      </c>
      <c r="K33" s="26">
        <f>-C33</f>
        <v>-120000</v>
      </c>
    </row>
    <row r="34" spans="1:18" hidden="1" x14ac:dyDescent="0.2">
      <c r="A34" s="7"/>
      <c r="B34" s="42">
        <v>1</v>
      </c>
      <c r="C34" s="14">
        <f>+C33-D34</f>
        <v>119841.97762820894</v>
      </c>
      <c r="D34" s="14">
        <f>IF($D$8=Variables!$B$3,PPMT($D$18,B34,$K$9,-$J$10),IF($D$8=Variables!$B$6,PPMT($D$18,B34,$K$9,-$J$10),IF($D$8=Variables!$B$5,0,IF($D$8=Variables!$B$4,0))))</f>
        <v>158.02237179105683</v>
      </c>
      <c r="E34" s="14">
        <f>IF($D$8=Variables!$B$3,IPMT($D$18,B34,$K$9,-$J$10),IF($D$8=Variables!$B$6,IPMT($D$18,B34,$K$9,-$J$10),IF($D$8=Variables!$B$5,0,IF($D$8=Variables!$B$4,0))))</f>
        <v>450</v>
      </c>
      <c r="F34" s="14">
        <f>IF(AND($D$8=Variables!$B$3,$D$12="SI",$D$19="NO",$D$13="SI",B34&gt;=7),(PMT(0.06/12,$K$9,-$C$33)-PMT(0.045/12,$K$9,-$C$33)),IF(AND($D$8=Variables!$B$5,$D$19="NO",$D$12="SI",$D$13="SI",B34&gt;12),(PMT(0.06/12,$K$9,-$C$45)-PMT(0.045/12,$K$9,-$C$45)),IF(AND($D$8=Variables!$B$4,$D$12="SI",$D$19="NO",$D$13="SI",$D$15="NO",B34&gt;18),(PMT(0.06/12,$K$9,-$C$51)-PMT(0.045/12,$K$9,-$C$51)),IF(AND($D$8=Variables!$B$4,$D$12="SI",$D$19="NO",$D$13="SI",$D$15="SI",B34&gt;24),(PMT(0.06/12,$K$9,-$C$57)-PMT(0.045/12,$K$9,-$C$57)),0))))</f>
        <v>0</v>
      </c>
      <c r="G34" s="14">
        <f>+IF($D$8=Variables!$B$6,0.21*IPMT('Sim Reg N° 800'!$D$18,'Sim Reg N° 800'!B34,'Sim Reg N° 800'!$K$9,-'Sim Reg N° 800'!$J$10),0)+F34*0.21</f>
        <v>0</v>
      </c>
      <c r="H34" s="14">
        <f>+G34+E34+D34+F34</f>
        <v>608.0223717910568</v>
      </c>
      <c r="I34" s="14">
        <f>IF($D$8&lt;&gt;Variables!$B$4,$D$20*J9,0)</f>
        <v>95.999999999999986</v>
      </c>
      <c r="J34" s="14">
        <f>+I34+H34</f>
        <v>704.0223717910568</v>
      </c>
      <c r="K34" s="26">
        <f>+IF(J34="","",J34*0.3)</f>
        <v>211.20671153731703</v>
      </c>
      <c r="L34" s="20">
        <f>+$D$18*C33</f>
        <v>450</v>
      </c>
      <c r="M34" s="20">
        <f t="shared" ref="M34:M51" si="0">+$D$18*C33</f>
        <v>450</v>
      </c>
      <c r="R34" s="20"/>
    </row>
    <row r="35" spans="1:18" hidden="1" x14ac:dyDescent="0.2">
      <c r="A35" s="7"/>
      <c r="B35" s="42">
        <v>2</v>
      </c>
      <c r="C35" s="14">
        <f t="shared" ref="C35:C93" si="1">+C34-D35</f>
        <v>119683.36267252367</v>
      </c>
      <c r="D35" s="14">
        <f>IF($D$8=Variables!$B$3,PPMT($D$18,B35,$K$9,-$J$10),IF($D$8=Variables!$B$6,PPMT($D$18,B35,$K$9,-$J$10),IF($D$8=Variables!$B$5,0,IF($D$8=Variables!$B$4,0))))</f>
        <v>158.61495568527334</v>
      </c>
      <c r="E35" s="14">
        <f>IF($D$8=Variables!$B$3,IPMT($D$18,B35,$K$9,-$J$10),IF($D$8=Variables!$B$6,IPMT($D$18,B35,$K$9,-$J$10),IF($D$8=Variables!$B$5,0,IF($D$8=Variables!$B$4,0))))</f>
        <v>449.40741610578351</v>
      </c>
      <c r="F35" s="14">
        <f>IF(AND($D$8=Variables!$B$3,$D$12="SI",$D$19="NO",$D$13="SI",B35&gt;=7),(PMT(0.06/12,$K$9,-$C$33)-PMT(0.045/12,$K$9,-$C$33)),IF(AND($D$8=Variables!$B$5,$D$19="NO",$D$12="SI",$D$13="SI",B35&gt;12),(PMT(0.06/12,$K$9,-$C$45)-PMT(0.045/12,$K$9,-$C$45)),IF(AND($D$8=Variables!$B$4,$D$12="SI",$D$19="NO",$D$13="SI",$D$15="NO",B35&gt;18),(PMT(0.06/12,$K$9,-$C$51)-PMT(0.045/12,$K$9,-$C$51)),IF(AND($D$8=Variables!$B$4,$D$12="SI",$D$19="NO",$D$13="SI",$D$15="SI",B35&gt;24),(PMT(0.06/12,$K$9,-$C$57)-PMT(0.045/12,$K$9,-$C$57)),0))))</f>
        <v>0</v>
      </c>
      <c r="G35" s="14">
        <f>+IF($D$8=Variables!$B$6,0.21*IPMT('Sim Reg N° 800'!$D$18,'Sim Reg N° 800'!B35,'Sim Reg N° 800'!$K$9,-'Sim Reg N° 800'!$J$10),0)+F35*0.21</f>
        <v>0</v>
      </c>
      <c r="H35" s="14">
        <f t="shared" ref="H35:H93" si="2">+G35+E35+D35+F35</f>
        <v>608.02237179105691</v>
      </c>
      <c r="I35" s="14">
        <v>0</v>
      </c>
      <c r="J35" s="14">
        <f t="shared" ref="J35:J93" si="3">+I35+H35</f>
        <v>608.02237179105691</v>
      </c>
      <c r="K35" s="26">
        <f t="shared" ref="K35:K98" si="4">+IF(J35="","",J35*0.3)</f>
        <v>182.40671153731708</v>
      </c>
      <c r="L35" s="20">
        <f t="shared" ref="L35:L45" si="5">+$D$18*C34</f>
        <v>449.40741610578351</v>
      </c>
      <c r="M35" s="20">
        <f t="shared" si="0"/>
        <v>449.40741610578351</v>
      </c>
      <c r="R35" s="20"/>
    </row>
    <row r="36" spans="1:18" hidden="1" x14ac:dyDescent="0.2">
      <c r="A36" s="7"/>
      <c r="B36" s="42">
        <v>3</v>
      </c>
      <c r="C36" s="14">
        <f t="shared" si="1"/>
        <v>119524.15291075458</v>
      </c>
      <c r="D36" s="14">
        <f>IF($D$8=Variables!$B$3,PPMT($D$18,B36,$K$9,-$J$10),IF($D$8=Variables!$B$6,PPMT($D$18,B36,$K$9,-$J$10),IF($D$8=Variables!$B$5,0,IF($D$8=Variables!$B$4,0))))</f>
        <v>159.20976176909309</v>
      </c>
      <c r="E36" s="14">
        <f>IF($D$8=Variables!$B$3,IPMT($D$18,B36,$K$9,-$J$10),IF($D$8=Variables!$B$6,IPMT($D$18,B36,$K$9,-$J$10),IF($D$8=Variables!$B$5,0,IF($D$8=Variables!$B$4,0))))</f>
        <v>448.81261002196374</v>
      </c>
      <c r="F36" s="14">
        <f>IF(AND($D$8=Variables!$B$3,$D$12="SI",$D$19="NO",$D$13="SI",B36&gt;=7),(PMT(0.06/12,$K$9,-$C$33)-PMT(0.045/12,$K$9,-$C$33)),IF(AND($D$8=Variables!$B$5,$D$19="NO",$D$12="SI",$D$13="SI",B36&gt;12),(PMT(0.06/12,$K$9,-$C$45)-PMT(0.045/12,$K$9,-$C$45)),IF(AND($D$8=Variables!$B$4,$D$12="SI",$D$19="NO",$D$13="SI",$D$15="NO",B36&gt;18),(PMT(0.06/12,$K$9,-$C$51)-PMT(0.045/12,$K$9,-$C$51)),IF(AND($D$8=Variables!$B$4,$D$12="SI",$D$19="NO",$D$13="SI",$D$15="SI",B36&gt;24),(PMT(0.06/12,$K$9,-$C$57)-PMT(0.045/12,$K$9,-$C$57)),0))))</f>
        <v>0</v>
      </c>
      <c r="G36" s="14">
        <f>+IF($D$8=Variables!$B$6,0.21*IPMT('Sim Reg N° 800'!$D$18,'Sim Reg N° 800'!B36,'Sim Reg N° 800'!$K$9,-'Sim Reg N° 800'!$J$10),0)+F36*0.21</f>
        <v>0</v>
      </c>
      <c r="H36" s="14">
        <f t="shared" si="2"/>
        <v>608.0223717910568</v>
      </c>
      <c r="I36" s="14">
        <v>0</v>
      </c>
      <c r="J36" s="14">
        <f t="shared" si="3"/>
        <v>608.0223717910568</v>
      </c>
      <c r="K36" s="26">
        <f t="shared" si="4"/>
        <v>182.40671153731702</v>
      </c>
      <c r="L36" s="20">
        <f t="shared" si="5"/>
        <v>448.81261002196374</v>
      </c>
      <c r="M36" s="20">
        <f t="shared" si="0"/>
        <v>448.81261002196374</v>
      </c>
      <c r="R36" s="20"/>
    </row>
    <row r="37" spans="1:18" hidden="1" x14ac:dyDescent="0.2">
      <c r="A37" s="7"/>
      <c r="B37" s="42">
        <v>4</v>
      </c>
      <c r="C37" s="14">
        <f t="shared" si="1"/>
        <v>119364.34611237886</v>
      </c>
      <c r="D37" s="14">
        <f>IF($D$8=Variables!$B$3,PPMT($D$18,B37,$K$9,-$J$10),IF($D$8=Variables!$B$6,PPMT($D$18,B37,$K$9,-$J$10),IF($D$8=Variables!$B$5,0,IF($D$8=Variables!$B$4,0))))</f>
        <v>159.8067983757272</v>
      </c>
      <c r="E37" s="14">
        <f>IF($D$8=Variables!$B$3,IPMT($D$18,B37,$K$9,-$J$10),IF($D$8=Variables!$B$6,IPMT($D$18,B37,$K$9,-$J$10),IF($D$8=Variables!$B$5,0,IF($D$8=Variables!$B$4,0))))</f>
        <v>448.21557341532963</v>
      </c>
      <c r="F37" s="14">
        <f>IF(AND($D$8=Variables!$B$3,$D$12="SI",$D$19="NO",$D$13="SI",B37&gt;=7),(PMT(0.06/12,$K$9,-$C$33)-PMT(0.045/12,$K$9,-$C$33)),IF(AND($D$8=Variables!$B$5,$D$19="NO",$D$12="SI",$D$13="SI",B37&gt;12),(PMT(0.06/12,$K$9,-$C$45)-PMT(0.045/12,$K$9,-$C$45)),IF(AND($D$8=Variables!$B$4,$D$12="SI",$D$19="NO",$D$13="SI",$D$15="NO",B37&gt;18),(PMT(0.06/12,$K$9,-$C$51)-PMT(0.045/12,$K$9,-$C$51)),IF(AND($D$8=Variables!$B$4,$D$12="SI",$D$19="NO",$D$13="SI",$D$15="SI",B37&gt;24),(PMT(0.06/12,$K$9,-$C$57)-PMT(0.045/12,$K$9,-$C$57)),0))))</f>
        <v>0</v>
      </c>
      <c r="G37" s="14">
        <f>+IF($D$8=Variables!$B$6,0.21*IPMT('Sim Reg N° 800'!$D$18,'Sim Reg N° 800'!B37,'Sim Reg N° 800'!$K$9,-'Sim Reg N° 800'!$J$10),0)+F37*0.21</f>
        <v>0</v>
      </c>
      <c r="H37" s="14">
        <f t="shared" si="2"/>
        <v>608.0223717910568</v>
      </c>
      <c r="I37" s="14">
        <v>0</v>
      </c>
      <c r="J37" s="14">
        <f t="shared" si="3"/>
        <v>608.0223717910568</v>
      </c>
      <c r="K37" s="26">
        <f t="shared" si="4"/>
        <v>182.40671153731702</v>
      </c>
      <c r="L37" s="20">
        <f t="shared" si="5"/>
        <v>448.21557341532963</v>
      </c>
      <c r="M37" s="20">
        <f t="shared" si="0"/>
        <v>448.21557341532963</v>
      </c>
      <c r="R37" s="20"/>
    </row>
    <row r="38" spans="1:18" hidden="1" x14ac:dyDescent="0.2">
      <c r="A38" s="7"/>
      <c r="B38" s="42">
        <v>5</v>
      </c>
      <c r="C38" s="14">
        <f t="shared" si="1"/>
        <v>119203.94003850922</v>
      </c>
      <c r="D38" s="14">
        <f>IF($D$8=Variables!$B$3,PPMT($D$18,B38,$K$9,-$J$10),IF($D$8=Variables!$B$6,PPMT($D$18,B38,$K$9,-$J$10),IF($D$8=Variables!$B$5,0,IF($D$8=Variables!$B$4,0))))</f>
        <v>160.4060738696362</v>
      </c>
      <c r="E38" s="14">
        <f>IF($D$8=Variables!$B$3,IPMT($D$18,B38,$K$9,-$J$10),IF($D$8=Variables!$B$6,IPMT($D$18,B38,$K$9,-$J$10),IF($D$8=Variables!$B$5,0,IF($D$8=Variables!$B$4,0))))</f>
        <v>447.61629792142071</v>
      </c>
      <c r="F38" s="14">
        <f>IF(AND($D$8=Variables!$B$3,$D$12="SI",$D$19="NO",$D$13="SI",B38&gt;=7),(PMT(0.06/12,$K$9,-$C$33)-PMT(0.045/12,$K$9,-$C$33)),IF(AND($D$8=Variables!$B$5,$D$19="NO",$D$12="SI",$D$13="SI",B38&gt;12),(PMT(0.06/12,$K$9,-$C$45)-PMT(0.045/12,$K$9,-$C$45)),IF(AND($D$8=Variables!$B$4,$D$12="SI",$D$19="NO",$D$13="SI",$D$15="NO",B38&gt;18),(PMT(0.06/12,$K$9,-$C$51)-PMT(0.045/12,$K$9,-$C$51)),IF(AND($D$8=Variables!$B$4,$D$12="SI",$D$19="NO",$D$13="SI",$D$15="SI",B38&gt;24),(PMT(0.06/12,$K$9,-$C$57)-PMT(0.045/12,$K$9,-$C$57)),0))))</f>
        <v>0</v>
      </c>
      <c r="G38" s="14">
        <f>+IF($D$8=Variables!$B$6,0.21*IPMT('Sim Reg N° 800'!$D$18,'Sim Reg N° 800'!B38,'Sim Reg N° 800'!$K$9,-'Sim Reg N° 800'!$J$10),0)+F38*0.21</f>
        <v>0</v>
      </c>
      <c r="H38" s="14">
        <f t="shared" si="2"/>
        <v>608.02237179105691</v>
      </c>
      <c r="I38" s="14">
        <v>0</v>
      </c>
      <c r="J38" s="14">
        <f t="shared" si="3"/>
        <v>608.02237179105691</v>
      </c>
      <c r="K38" s="26">
        <f t="shared" si="4"/>
        <v>182.40671153731708</v>
      </c>
      <c r="L38" s="20">
        <f t="shared" si="5"/>
        <v>447.61629792142071</v>
      </c>
      <c r="M38" s="20">
        <f t="shared" si="0"/>
        <v>447.61629792142071</v>
      </c>
      <c r="N38" s="6"/>
      <c r="R38" s="20"/>
    </row>
    <row r="39" spans="1:18" hidden="1" x14ac:dyDescent="0.2">
      <c r="A39" s="7"/>
      <c r="B39" s="42">
        <v>6</v>
      </c>
      <c r="C39" s="14">
        <f>+C38-D39+IF($D$8=Variables!$B$4,0.5*'Sim Reg N° 800'!$J$10)</f>
        <v>119042.93244186256</v>
      </c>
      <c r="D39" s="14">
        <f>IF($D$8=Variables!$B$3,PPMT($D$18,B39,$K$9,-$J$10),IF($D$8=Variables!$B$6,PPMT($D$18,B39,$K$9,-$J$10),IF($D$8=Variables!$B$5,0,IF($D$8=Variables!$B$4,0))))</f>
        <v>161.00759664664733</v>
      </c>
      <c r="E39" s="14">
        <f>IF($D$8=Variables!$B$3,IPMT($D$18,B39,$K$9,-$J$10),IF($D$8=Variables!$B$6,IPMT($D$18,B39,$K$9,-$J$10),IF($D$8=Variables!$B$5,0,IF($D$8=Variables!$B$4,0))))</f>
        <v>447.01477514440955</v>
      </c>
      <c r="F39" s="14">
        <f>IF(AND($D$8=Variables!$B$3,$D$12="SI",$D$19="NO",$D$13="SI",B39&gt;=7),(PMT(0.06/12,$K$9,-$C$33)-PMT(0.045/12,$K$9,-$C$33)),IF(AND($D$8=Variables!$B$5,$D$19="NO",$D$12="SI",$D$13="SI",B39&gt;12),(PMT(0.06/12,$K$9,-$C$45)-PMT(0.045/12,$K$9,-$C$45)),IF(AND($D$8=Variables!$B$4,$D$12="SI",$D$19="NO",$D$13="SI",$D$15="NO",B39&gt;18),(PMT(0.06/12,$K$9,-$C$51)-PMT(0.045/12,$K$9,-$C$51)),IF(AND($D$8=Variables!$B$4,$D$12="SI",$D$19="NO",$D$13="SI",$D$15="SI",B39&gt;24),(PMT(0.06/12,$K$9,-$C$57)-PMT(0.045/12,$K$9,-$C$57)),0))))</f>
        <v>0</v>
      </c>
      <c r="G39" s="14">
        <f>+IF($D$8=Variables!$B$6,0.21*IPMT('Sim Reg N° 800'!$D$18,'Sim Reg N° 800'!B39,'Sim Reg N° 800'!$K$9,-'Sim Reg N° 800'!$J$10),0)+F39*0.21</f>
        <v>0</v>
      </c>
      <c r="H39" s="14">
        <f t="shared" si="2"/>
        <v>608.02237179105691</v>
      </c>
      <c r="I39" s="14">
        <v>0</v>
      </c>
      <c r="J39" s="14">
        <f t="shared" si="3"/>
        <v>608.02237179105691</v>
      </c>
      <c r="K39" s="26">
        <f t="shared" si="4"/>
        <v>182.40671153731708</v>
      </c>
      <c r="L39" s="20">
        <f>+$D$18*C38</f>
        <v>447.01477514440955</v>
      </c>
      <c r="M39" s="20">
        <f t="shared" si="0"/>
        <v>447.01477514440955</v>
      </c>
      <c r="P39" s="50"/>
      <c r="R39" s="20"/>
    </row>
    <row r="40" spans="1:18" hidden="1" x14ac:dyDescent="0.2">
      <c r="A40" s="7"/>
      <c r="B40" s="42">
        <v>7</v>
      </c>
      <c r="C40" s="14">
        <f>+C39-D40</f>
        <v>118881.32106672849</v>
      </c>
      <c r="D40" s="14">
        <f>IF($D$8=Variables!$B$3,PPMT($D$18,B40,$K$9,-$J$10),IF($D$8=Variables!$B$6,PPMT($D$18,B40,$K$9,-$J$10),IF($D$8=Variables!$B$5,0,IF($D$8=Variables!$B$4,0))))</f>
        <v>161.61137513407223</v>
      </c>
      <c r="E40" s="14">
        <f>IF($D$8=Variables!$B$3,IPMT($D$18,B40,$K$9,-$J$10),IF($D$8=Variables!$B$6,IPMT($D$18,B40,$K$9,-$J$10),IF($D$8=Variables!$B$5,0,IF($D$8=Variables!$B$4,0))))</f>
        <v>446.41099665698459</v>
      </c>
      <c r="F40" s="14">
        <f>IF(AND($D$8=Variables!$B$3,$D$12="SI",$D$19="NO",$D$13="SI",B40&gt;=7),(PMT(0.06/12,$K$9,-$C$33)-PMT(0.045/12,$K$9,-$C$33)),IF(AND($D$8=Variables!$B$5,$D$19="NO",$D$12="SI",$D$13="SI",B40&gt;12),(PMT(0.06/12,$K$9,-$C$45)-PMT(0.045/12,$K$9,-$C$45)),IF(AND($D$8=Variables!$B$4,$D$12="SI",$D$19="NO",$D$13="SI",$D$15="NO",B40&gt;18),(PMT(0.06/12,$K$9,-$C$51)-PMT(0.045/12,$K$9,-$C$51)),IF(AND($D$8=Variables!$B$4,$D$12="SI",$D$19="NO",$D$13="SI",$D$15="SI",B40&gt;24),(PMT(0.06/12,$K$9,-$C$57)-PMT(0.045/12,$K$9,-$C$57)),0))))</f>
        <v>111.43825839224587</v>
      </c>
      <c r="G40" s="14">
        <f>+IF($D$8=Variables!$B$6,0.21*IPMT('Sim Reg N° 800'!$D$18,'Sim Reg N° 800'!B40,'Sim Reg N° 800'!$K$9,-'Sim Reg N° 800'!$J$10),0)+F40*0.21</f>
        <v>23.402034262371632</v>
      </c>
      <c r="H40" s="14">
        <f t="shared" si="2"/>
        <v>742.86266444567434</v>
      </c>
      <c r="I40" s="14">
        <v>0</v>
      </c>
      <c r="J40" s="14">
        <f t="shared" si="3"/>
        <v>742.86266444567434</v>
      </c>
      <c r="K40" s="26">
        <f t="shared" si="4"/>
        <v>222.85879933370231</v>
      </c>
      <c r="L40" s="20">
        <f t="shared" si="5"/>
        <v>446.41099665698459</v>
      </c>
      <c r="M40" s="20">
        <f t="shared" si="0"/>
        <v>446.41099665698459</v>
      </c>
      <c r="R40" s="20"/>
    </row>
    <row r="41" spans="1:18" hidden="1" x14ac:dyDescent="0.2">
      <c r="A41" s="7"/>
      <c r="B41" s="42">
        <v>8</v>
      </c>
      <c r="C41" s="14">
        <f t="shared" si="1"/>
        <v>118719.10364893766</v>
      </c>
      <c r="D41" s="14">
        <f>IF($D$8=Variables!$B$3,PPMT($D$18,B41,$K$9,-$J$10),IF($D$8=Variables!$B$6,PPMT($D$18,B41,$K$9,-$J$10),IF($D$8=Variables!$B$5,0,IF($D$8=Variables!$B$4,0))))</f>
        <v>162.21741779082501</v>
      </c>
      <c r="E41" s="14">
        <f>IF($D$8=Variables!$B$3,IPMT($D$18,B41,$K$9,-$J$10),IF($D$8=Variables!$B$6,IPMT($D$18,B41,$K$9,-$J$10),IF($D$8=Variables!$B$5,0,IF($D$8=Variables!$B$4,0))))</f>
        <v>445.80495400023187</v>
      </c>
      <c r="F41" s="14">
        <f>IF(AND($D$8=Variables!$B$3,$D$12="SI",$D$19="NO",$D$13="SI",B41&gt;=7),(PMT(0.06/12,$K$9,-$C$33)-PMT(0.045/12,$K$9,-$C$33)),IF(AND($D$8=Variables!$B$5,$D$19="NO",$D$12="SI",$D$13="SI",B41&gt;12),(PMT(0.06/12,$K$9,-$C$45)-PMT(0.045/12,$K$9,-$C$45)),IF(AND($D$8=Variables!$B$4,$D$12="SI",$D$19="NO",$D$13="SI",$D$15="NO",B41&gt;18),(PMT(0.06/12,$K$9,-$C$51)-PMT(0.045/12,$K$9,-$C$51)),IF(AND($D$8=Variables!$B$4,$D$12="SI",$D$19="NO",$D$13="SI",$D$15="SI",B41&gt;24),(PMT(0.06/12,$K$9,-$C$57)-PMT(0.045/12,$K$9,-$C$57)),0))))</f>
        <v>111.43825839224587</v>
      </c>
      <c r="G41" s="14">
        <f>+IF($D$8=Variables!$B$6,0.21*IPMT('Sim Reg N° 800'!$D$18,'Sim Reg N° 800'!B41,'Sim Reg N° 800'!$K$9,-'Sim Reg N° 800'!$J$10),0)+F41*0.21</f>
        <v>23.402034262371632</v>
      </c>
      <c r="H41" s="14">
        <f t="shared" si="2"/>
        <v>742.86266444567434</v>
      </c>
      <c r="I41" s="14">
        <v>0</v>
      </c>
      <c r="J41" s="14">
        <f t="shared" si="3"/>
        <v>742.86266444567434</v>
      </c>
      <c r="K41" s="26">
        <f t="shared" si="4"/>
        <v>222.85879933370231</v>
      </c>
      <c r="L41" s="20">
        <f t="shared" si="5"/>
        <v>445.80495400023182</v>
      </c>
      <c r="M41" s="20">
        <f t="shared" si="0"/>
        <v>445.80495400023182</v>
      </c>
      <c r="R41" s="20"/>
    </row>
    <row r="42" spans="1:18" hidden="1" x14ac:dyDescent="0.2">
      <c r="A42" s="7"/>
      <c r="B42" s="42">
        <v>9</v>
      </c>
      <c r="C42" s="14">
        <f t="shared" si="1"/>
        <v>118556.27791583011</v>
      </c>
      <c r="D42" s="14">
        <f>IF($D$8=Variables!$B$3,PPMT($D$18,B42,$K$9,-$J$10),IF($D$8=Variables!$B$6,PPMT($D$18,B42,$K$9,-$J$10),IF($D$8=Variables!$B$5,0,IF($D$8=Variables!$B$4,0))))</f>
        <v>162.82573310754057</v>
      </c>
      <c r="E42" s="14">
        <f>IF($D$8=Variables!$B$3,IPMT($D$18,B42,$K$9,-$J$10),IF($D$8=Variables!$B$6,IPMT($D$18,B42,$K$9,-$J$10),IF($D$8=Variables!$B$5,0,IF($D$8=Variables!$B$4,0))))</f>
        <v>445.19663868351631</v>
      </c>
      <c r="F42" s="14">
        <f>IF(AND($D$8=Variables!$B$3,$D$12="SI",$D$19="NO",$D$13="SI",B42&gt;=7),(PMT(0.06/12,$K$9,-$C$33)-PMT(0.045/12,$K$9,-$C$33)),IF(AND($D$8=Variables!$B$5,$D$19="NO",$D$12="SI",$D$13="SI",B42&gt;12),(PMT(0.06/12,$K$9,-$C$45)-PMT(0.045/12,$K$9,-$C$45)),IF(AND($D$8=Variables!$B$4,$D$12="SI",$D$19="NO",$D$13="SI",$D$15="NO",B42&gt;18),(PMT(0.06/12,$K$9,-$C$51)-PMT(0.045/12,$K$9,-$C$51)),IF(AND($D$8=Variables!$B$4,$D$12="SI",$D$19="NO",$D$13="SI",$D$15="SI",B42&gt;24),(PMT(0.06/12,$K$9,-$C$57)-PMT(0.045/12,$K$9,-$C$57)),0))))</f>
        <v>111.43825839224587</v>
      </c>
      <c r="G42" s="14">
        <f>+IF($D$8=Variables!$B$6,0.21*IPMT('Sim Reg N° 800'!$D$18,'Sim Reg N° 800'!B42,'Sim Reg N° 800'!$K$9,-'Sim Reg N° 800'!$J$10),0)+F42*0.21</f>
        <v>23.402034262371632</v>
      </c>
      <c r="H42" s="14">
        <f t="shared" si="2"/>
        <v>742.86266444567434</v>
      </c>
      <c r="I42" s="14">
        <v>0</v>
      </c>
      <c r="J42" s="14">
        <f t="shared" si="3"/>
        <v>742.86266444567434</v>
      </c>
      <c r="K42" s="26">
        <f t="shared" si="4"/>
        <v>222.85879933370231</v>
      </c>
      <c r="L42" s="20">
        <f t="shared" si="5"/>
        <v>445.1966386835162</v>
      </c>
      <c r="M42" s="20">
        <f t="shared" si="0"/>
        <v>445.1966386835162</v>
      </c>
      <c r="R42" s="20"/>
    </row>
    <row r="43" spans="1:18" hidden="1" x14ac:dyDescent="0.2">
      <c r="A43" s="7"/>
      <c r="B43" s="42">
        <v>10</v>
      </c>
      <c r="C43" s="14">
        <f t="shared" si="1"/>
        <v>118392.84158622343</v>
      </c>
      <c r="D43" s="14">
        <f>IF($D$8=Variables!$B$3,PPMT($D$18,B43,$K$9,-$J$10),IF($D$8=Variables!$B$6,PPMT($D$18,B43,$K$9,-$J$10),IF($D$8=Variables!$B$5,0,IF($D$8=Variables!$B$4,0))))</f>
        <v>163.4363296066939</v>
      </c>
      <c r="E43" s="14">
        <f>IF($D$8=Variables!$B$3,IPMT($D$18,B43,$K$9,-$J$10),IF($D$8=Variables!$B$6,IPMT($D$18,B43,$K$9,-$J$10),IF($D$8=Variables!$B$5,0,IF($D$8=Variables!$B$4,0))))</f>
        <v>444.58604218436295</v>
      </c>
      <c r="F43" s="14">
        <f>IF(AND($D$8=Variables!$B$3,$D$12="SI",$D$19="NO",$D$13="SI",B43&gt;=7),(PMT(0.06/12,$K$9,-$C$33)-PMT(0.045/12,$K$9,-$C$33)),IF(AND($D$8=Variables!$B$5,$D$19="NO",$D$12="SI",$D$13="SI",B43&gt;12),(PMT(0.06/12,$K$9,-$C$45)-PMT(0.045/12,$K$9,-$C$45)),IF(AND($D$8=Variables!$B$4,$D$12="SI",$D$19="NO",$D$13="SI",$D$15="NO",B43&gt;18),(PMT(0.06/12,$K$9,-$C$51)-PMT(0.045/12,$K$9,-$C$51)),IF(AND($D$8=Variables!$B$4,$D$12="SI",$D$19="NO",$D$13="SI",$D$15="SI",B43&gt;24),(PMT(0.06/12,$K$9,-$C$57)-PMT(0.045/12,$K$9,-$C$57)),0))))</f>
        <v>111.43825839224587</v>
      </c>
      <c r="G43" s="14">
        <f>+IF($D$8=Variables!$B$6,0.21*IPMT('Sim Reg N° 800'!$D$18,'Sim Reg N° 800'!B43,'Sim Reg N° 800'!$K$9,-'Sim Reg N° 800'!$J$10),0)+F43*0.21</f>
        <v>23.402034262371632</v>
      </c>
      <c r="H43" s="14">
        <f t="shared" si="2"/>
        <v>742.86266444567434</v>
      </c>
      <c r="I43" s="14">
        <v>0</v>
      </c>
      <c r="J43" s="14">
        <f t="shared" si="3"/>
        <v>742.86266444567434</v>
      </c>
      <c r="K43" s="26">
        <f t="shared" si="4"/>
        <v>222.85879933370231</v>
      </c>
      <c r="L43" s="20">
        <f t="shared" si="5"/>
        <v>444.5860421843629</v>
      </c>
      <c r="M43" s="20">
        <f t="shared" si="0"/>
        <v>444.5860421843629</v>
      </c>
      <c r="R43" s="20"/>
    </row>
    <row r="44" spans="1:18" hidden="1" x14ac:dyDescent="0.2">
      <c r="A44" s="7"/>
      <c r="B44" s="42">
        <v>11</v>
      </c>
      <c r="C44" s="14">
        <f t="shared" si="1"/>
        <v>118228.7923703807</v>
      </c>
      <c r="D44" s="14">
        <f>IF($D$8=Variables!$B$3,PPMT($D$18,B44,$K$9,-$J$10),IF($D$8=Variables!$B$6,PPMT($D$18,B44,$K$9,-$J$10),IF($D$8=Variables!$B$5,0,IF($D$8=Variables!$B$4,0))))</f>
        <v>164.04921584271898</v>
      </c>
      <c r="E44" s="14">
        <f>IF($D$8=Variables!$B$3,IPMT($D$18,B44,$K$9,-$J$10),IF($D$8=Variables!$B$6,IPMT($D$18,B44,$K$9,-$J$10),IF($D$8=Variables!$B$5,0,IF($D$8=Variables!$B$4,0))))</f>
        <v>443.97315594833782</v>
      </c>
      <c r="F44" s="14">
        <f>IF(AND($D$8=Variables!$B$3,$D$12="SI",$D$19="NO",$D$13="SI",B44&gt;=7),(PMT(0.06/12,$K$9,-$C$33)-PMT(0.045/12,$K$9,-$C$33)),IF(AND($D$8=Variables!$B$5,$D$19="NO",$D$12="SI",$D$13="SI",B44&gt;12),(PMT(0.06/12,$K$9,-$C$45)-PMT(0.045/12,$K$9,-$C$45)),IF(AND($D$8=Variables!$B$4,$D$12="SI",$D$19="NO",$D$13="SI",$D$15="NO",B44&gt;18),(PMT(0.06/12,$K$9,-$C$51)-PMT(0.045/12,$K$9,-$C$51)),IF(AND($D$8=Variables!$B$4,$D$12="SI",$D$19="NO",$D$13="SI",$D$15="SI",B44&gt;24),(PMT(0.06/12,$K$9,-$C$57)-PMT(0.045/12,$K$9,-$C$57)),0))))</f>
        <v>111.43825839224587</v>
      </c>
      <c r="G44" s="14">
        <f>+IF($D$8=Variables!$B$6,0.21*IPMT('Sim Reg N° 800'!$D$18,'Sim Reg N° 800'!B44,'Sim Reg N° 800'!$K$9,-'Sim Reg N° 800'!$J$10),0)+F44*0.21</f>
        <v>23.402034262371632</v>
      </c>
      <c r="H44" s="14">
        <f t="shared" si="2"/>
        <v>742.86266444567423</v>
      </c>
      <c r="I44" s="14">
        <v>0</v>
      </c>
      <c r="J44" s="14">
        <f t="shared" si="3"/>
        <v>742.86266444567423</v>
      </c>
      <c r="K44" s="26">
        <f t="shared" si="4"/>
        <v>222.85879933370225</v>
      </c>
      <c r="L44" s="20">
        <f t="shared" si="5"/>
        <v>443.97315594833782</v>
      </c>
      <c r="M44" s="20">
        <f t="shared" si="0"/>
        <v>443.97315594833782</v>
      </c>
      <c r="R44" s="20"/>
    </row>
    <row r="45" spans="1:18" hidden="1" x14ac:dyDescent="0.2">
      <c r="A45" s="7"/>
      <c r="B45" s="42">
        <v>12</v>
      </c>
      <c r="C45" s="14">
        <f>+C44-D45+IF(D8=Variables!B5,SUM(L34:L39))+IF($D$8=Variables!$B$4,0.2*'Sim Reg N° 800'!$J$10)</f>
        <v>118064.12796997857</v>
      </c>
      <c r="D45" s="14">
        <f>IF($D$8=Variables!$B$3,PPMT($D$18,B45,$K$9,-$J$10),IF($D$8=Variables!$B$6,PPMT($D$18,B45,$K$9,-$J$10),IF($D$8=Variables!$B$5,0,IF($D$8=Variables!$B$4,0))))</f>
        <v>164.66440040212913</v>
      </c>
      <c r="E45" s="14">
        <f>IF($D$8=Variables!$B$3,IPMT($D$18,B45,$K$9,-$J$10),IF($D$8=Variables!$B$6,IPMT($D$18,B45,$K$9,-$J$10),IF($D$8=Variables!$B$5,0,IF($D$8=Variables!$B$4,0))))</f>
        <v>443.35797138892769</v>
      </c>
      <c r="F45" s="14">
        <f>IF(AND($D$8=Variables!$B$3,$D$12="SI",$D$19="NO",$D$13="SI",B45&gt;=7),(PMT(0.06/12,$K$9,-$C$33)-PMT(0.045/12,$K$9,-$C$33)),IF(AND($D$8=Variables!$B$5,$D$19="NO",$D$12="SI",$D$13="SI",B45&gt;12),(PMT(0.06/12,$K$9,-$C$45)-PMT(0.045/12,$K$9,-$C$45)),IF(AND($D$8=Variables!$B$4,$D$12="SI",$D$19="NO",$D$13="SI",$D$15="NO",B45&gt;18),(PMT(0.06/12,$K$9,-$C$51)-PMT(0.045/12,$K$9,-$C$51)),IF(AND($D$8=Variables!$B$4,$D$12="SI",$D$19="NO",$D$13="SI",$D$15="SI",B45&gt;24),(PMT(0.06/12,$K$9,-$C$57)-PMT(0.045/12,$K$9,-$C$57)),0))))</f>
        <v>111.43825839224587</v>
      </c>
      <c r="G45" s="14">
        <f>+IF($D$8=Variables!$B$6,0.21*IPMT('Sim Reg N° 800'!$D$18,'Sim Reg N° 800'!B45,'Sim Reg N° 800'!$K$9,-'Sim Reg N° 800'!$J$10),0)+F45*0.21</f>
        <v>23.402034262371632</v>
      </c>
      <c r="H45" s="14">
        <f t="shared" si="2"/>
        <v>742.86266444567434</v>
      </c>
      <c r="I45" s="14">
        <v>0</v>
      </c>
      <c r="J45" s="14">
        <f t="shared" si="3"/>
        <v>742.86266444567434</v>
      </c>
      <c r="K45" s="26">
        <f t="shared" si="4"/>
        <v>222.85879933370231</v>
      </c>
      <c r="L45" s="20">
        <f t="shared" si="5"/>
        <v>443.35797138892764</v>
      </c>
      <c r="M45" s="20">
        <f t="shared" si="0"/>
        <v>443.35797138892764</v>
      </c>
      <c r="R45" s="20"/>
    </row>
    <row r="46" spans="1:18" hidden="1" x14ac:dyDescent="0.2">
      <c r="A46" s="7"/>
      <c r="B46" s="42">
        <v>13</v>
      </c>
      <c r="C46" s="14">
        <f>+C45-D46</f>
        <v>117898.84607807493</v>
      </c>
      <c r="D46" s="14">
        <f>IF($D$8=Variables!$B$3,PPMT($D$18,B46,$K$9,-$J$10),IF($D$8=Variables!$B$6,PPMT($D$18,B46,$K$9,-$J$10),IF($D$8=Variables!$B$5,PPMT($D$18,B46-12,$K$9-12,-$C$45),IF($D$8=Variables!$B$4,0))))</f>
        <v>165.28189190363719</v>
      </c>
      <c r="E46" s="14">
        <f>IF($D$8=Variables!$B$3,IPMT($D$18,B46,$K$9,-$J$10),IF($D$8=Variables!$B$6,IPMT($D$18,B46,$K$9,-$J$10),IF($D$8=Variables!$B$5,IPMT($D$18,B46-12,$K$9-12,-$C$45),IF($D$8=Variables!$B$4,0))))</f>
        <v>442.74047988741972</v>
      </c>
      <c r="F46" s="14">
        <f>IF(AND($D$8=Variables!$B$3,$D$12="SI",$D$19="NO",$D$13="SI",B46&gt;=7),(PMT(0.06/12,$K$9,-$C$33)-PMT(0.045/12,$K$9,-$C$33)),IF(AND($D$8=Variables!$B$5,$D$19="NO",$D$12="SI",$D$13="SI",B46&gt;12),(PMT(0.06/12,$K$9,-$C$45)-PMT(0.045/12,$K$9,-$C$45)),IF(AND($D$8=Variables!$B$4,$D$12="SI",$D$19="NO",$D$13="SI",$D$15="NO",B46&gt;18),(PMT(0.06/12,$K$9,-$C$51)-PMT(0.045/12,$K$9,-$C$51)),IF(AND($D$8=Variables!$B$4,$D$12="SI",$D$19="NO",$D$13="SI",$D$15="SI",B46&gt;24),(PMT(0.06/12,$K$9,-$C$57)-PMT(0.045/12,$K$9,-$C$57)),0))))</f>
        <v>111.43825839224587</v>
      </c>
      <c r="G46" s="14">
        <f>+IF($D$8=Variables!$B$6,0.21*IPMT('Sim Reg N° 800'!$D$18,'Sim Reg N° 800'!B46,'Sim Reg N° 800'!$K$9,-'Sim Reg N° 800'!$J$10),0)+F46*0.21</f>
        <v>23.402034262371632</v>
      </c>
      <c r="H46" s="14">
        <f t="shared" si="2"/>
        <v>742.86266444567445</v>
      </c>
      <c r="I46" s="14">
        <f>IF($D$8&lt;&gt;Variables!$B$4,I34,0)</f>
        <v>95.999999999999986</v>
      </c>
      <c r="J46" s="14">
        <f t="shared" si="3"/>
        <v>838.86266444567445</v>
      </c>
      <c r="K46" s="26">
        <f t="shared" si="4"/>
        <v>251.65879933370232</v>
      </c>
      <c r="L46" s="20"/>
      <c r="M46" s="20">
        <f t="shared" si="0"/>
        <v>442.74047988741961</v>
      </c>
      <c r="R46" s="20"/>
    </row>
    <row r="47" spans="1:18" hidden="1" x14ac:dyDescent="0.2">
      <c r="A47" s="7"/>
      <c r="B47" s="42">
        <v>14</v>
      </c>
      <c r="C47" s="14">
        <f t="shared" si="1"/>
        <v>117732.94437907665</v>
      </c>
      <c r="D47" s="14">
        <f>IF($D$8=Variables!$B$3,PPMT($D$18,B47,$K$9,-$J$10),IF($D$8=Variables!$B$6,PPMT($D$18,B47,$K$9,-$J$10),IF($D$8=Variables!$B$5,PPMT($D$18,B47-12,$K$9-12,-$C$45),IF($D$8=Variables!$B$4,0))))</f>
        <v>165.9016989982758</v>
      </c>
      <c r="E47" s="14">
        <f>IF($D$8=Variables!$B$3,IPMT($D$18,B47,$K$9,-$J$10),IF($D$8=Variables!$B$6,IPMT($D$18,B47,$K$9,-$J$10),IF($D$8=Variables!$B$5,IPMT($D$18,B47-12,$K$9-12,-$C$45),IF($D$8=Variables!$B$4,0))))</f>
        <v>442.12067279278102</v>
      </c>
      <c r="F47" s="14">
        <f>IF(AND($D$8=Variables!$B$3,$D$12="SI",$D$19="NO",$D$13="SI",B47&gt;=7),(PMT(0.06/12,$K$9,-$C$33)-PMT(0.045/12,$K$9,-$C$33)),IF(AND($D$8=Variables!$B$5,$D$19="NO",$D$12="SI",$D$13="SI",B47&gt;12),(PMT(0.06/12,$K$9,-$C$45)-PMT(0.045/12,$K$9,-$C$45)),IF(AND($D$8=Variables!$B$4,$D$12="SI",$D$19="NO",$D$13="SI",$D$15="NO",B47&gt;18),(PMT(0.06/12,$K$9,-$C$51)-PMT(0.045/12,$K$9,-$C$51)),IF(AND($D$8=Variables!$B$4,$D$12="SI",$D$19="NO",$D$13="SI",$D$15="SI",B47&gt;24),(PMT(0.06/12,$K$9,-$C$57)-PMT(0.045/12,$K$9,-$C$57)),0))))</f>
        <v>111.43825839224587</v>
      </c>
      <c r="G47" s="14">
        <f>+IF($D$8=Variables!$B$6,0.21*IPMT('Sim Reg N° 800'!$D$18,'Sim Reg N° 800'!B47,'Sim Reg N° 800'!$K$9,-'Sim Reg N° 800'!$J$10),0)+F47*0.21</f>
        <v>23.402034262371632</v>
      </c>
      <c r="H47" s="14">
        <f t="shared" si="2"/>
        <v>742.86266444567434</v>
      </c>
      <c r="I47" s="14">
        <f>+I35</f>
        <v>0</v>
      </c>
      <c r="J47" s="14">
        <f t="shared" si="3"/>
        <v>742.86266444567434</v>
      </c>
      <c r="K47" s="26">
        <f t="shared" si="4"/>
        <v>222.85879933370231</v>
      </c>
      <c r="L47" s="20"/>
      <c r="M47" s="20">
        <f t="shared" si="0"/>
        <v>442.12067279278097</v>
      </c>
      <c r="R47" s="20"/>
    </row>
    <row r="48" spans="1:18" hidden="1" x14ac:dyDescent="0.2">
      <c r="A48" s="7"/>
      <c r="B48" s="42">
        <v>15</v>
      </c>
      <c r="C48" s="14">
        <f t="shared" si="1"/>
        <v>117566.42054870713</v>
      </c>
      <c r="D48" s="14">
        <f>IF($D$8=Variables!$B$3,PPMT($D$18,B48,$K$9,-$J$10),IF($D$8=Variables!$B$6,PPMT($D$18,B48,$K$9,-$J$10),IF($D$8=Variables!$B$5,PPMT($D$18,B48-12,$K$9-12,-$C$45),IF($D$8=Variables!$B$4,0))))</f>
        <v>166.52383036951935</v>
      </c>
      <c r="E48" s="14">
        <f>IF($D$8=Variables!$B$3,IPMT($D$18,B48,$K$9,-$J$10),IF($D$8=Variables!$B$6,IPMT($D$18,B48,$K$9,-$J$10),IF($D$8=Variables!$B$5,IPMT($D$18,B48-12,$K$9-12,-$C$45),IF($D$8=Variables!$B$4,0))))</f>
        <v>441.49854142153748</v>
      </c>
      <c r="F48" s="14">
        <f>IF(AND($D$8=Variables!$B$3,$D$12="SI",$D$19="NO",$D$13="SI",B48&gt;=7),(PMT(0.06/12,$K$9,-$C$33)-PMT(0.045/12,$K$9,-$C$33)),IF(AND($D$8=Variables!$B$5,$D$19="NO",$D$12="SI",$D$13="SI",B48&gt;12),(PMT(0.06/12,$K$9,-$C$45)-PMT(0.045/12,$K$9,-$C$45)),IF(AND($D$8=Variables!$B$4,$D$12="SI",$D$19="NO",$D$13="SI",$D$15="NO",B48&gt;18),(PMT(0.06/12,$K$9,-$C$51)-PMT(0.045/12,$K$9,-$C$51)),IF(AND($D$8=Variables!$B$4,$D$12="SI",$D$19="NO",$D$13="SI",$D$15="SI",B48&gt;24),(PMT(0.06/12,$K$9,-$C$57)-PMT(0.045/12,$K$9,-$C$57)),0))))</f>
        <v>111.43825839224587</v>
      </c>
      <c r="G48" s="14">
        <f>+IF($D$8=Variables!$B$6,0.21*IPMT('Sim Reg N° 800'!$D$18,'Sim Reg N° 800'!B48,'Sim Reg N° 800'!$K$9,-'Sim Reg N° 800'!$J$10),0)+F48*0.21</f>
        <v>23.402034262371632</v>
      </c>
      <c r="H48" s="14">
        <f t="shared" si="2"/>
        <v>742.86266444567434</v>
      </c>
      <c r="I48" s="14">
        <f t="shared" ref="I48:I51" si="6">+I36</f>
        <v>0</v>
      </c>
      <c r="J48" s="14">
        <f t="shared" si="3"/>
        <v>742.86266444567434</v>
      </c>
      <c r="K48" s="26">
        <f t="shared" si="4"/>
        <v>222.85879933370231</v>
      </c>
      <c r="L48" s="20"/>
      <c r="M48" s="20">
        <f t="shared" si="0"/>
        <v>441.49854142153742</v>
      </c>
      <c r="R48" s="20"/>
    </row>
    <row r="49" spans="1:18" hidden="1" x14ac:dyDescent="0.2">
      <c r="A49" s="7"/>
      <c r="B49" s="42">
        <v>16</v>
      </c>
      <c r="C49" s="14">
        <f t="shared" si="1"/>
        <v>117399.27225397373</v>
      </c>
      <c r="D49" s="14">
        <f>IF($D$8=Variables!$B$3,PPMT($D$18,B49,$K$9,-$J$10),IF($D$8=Variables!$B$6,PPMT($D$18,B49,$K$9,-$J$10),IF($D$8=Variables!$B$5,PPMT($D$18,B49-12,$K$9-12,-$C$45),IF($D$8=Variables!$B$4,0))))</f>
        <v>167.14829473340501</v>
      </c>
      <c r="E49" s="14">
        <f>IF($D$8=Variables!$B$3,IPMT($D$18,B49,$K$9,-$J$10),IF($D$8=Variables!$B$6,IPMT($D$18,B49,$K$9,-$J$10),IF($D$8=Variables!$B$5,IPMT($D$18,B49-12,$K$9-12,-$C$45),IF($D$8=Variables!$B$4,0))))</f>
        <v>440.87407705765185</v>
      </c>
      <c r="F49" s="14">
        <f>IF(AND($D$8=Variables!$B$3,$D$12="SI",$D$19="NO",$D$13="SI",B49&gt;=7),(PMT(0.06/12,$K$9,-$C$33)-PMT(0.045/12,$K$9,-$C$33)),IF(AND($D$8=Variables!$B$5,$D$19="NO",$D$12="SI",$D$13="SI",B49&gt;12),(PMT(0.06/12,$K$9,-$C$45)-PMT(0.045/12,$K$9,-$C$45)),IF(AND($D$8=Variables!$B$4,$D$12="SI",$D$19="NO",$D$13="SI",$D$15="NO",B49&gt;18),(PMT(0.06/12,$K$9,-$C$51)-PMT(0.045/12,$K$9,-$C$51)),IF(AND($D$8=Variables!$B$4,$D$12="SI",$D$19="NO",$D$13="SI",$D$15="SI",B49&gt;24),(PMT(0.06/12,$K$9,-$C$57)-PMT(0.045/12,$K$9,-$C$57)),0))))</f>
        <v>111.43825839224587</v>
      </c>
      <c r="G49" s="14">
        <f>+IF($D$8=Variables!$B$6,0.21*IPMT('Sim Reg N° 800'!$D$18,'Sim Reg N° 800'!B49,'Sim Reg N° 800'!$K$9,-'Sim Reg N° 800'!$J$10),0)+F49*0.21</f>
        <v>23.402034262371632</v>
      </c>
      <c r="H49" s="14">
        <f t="shared" si="2"/>
        <v>742.86266444567434</v>
      </c>
      <c r="I49" s="14">
        <f t="shared" si="6"/>
        <v>0</v>
      </c>
      <c r="J49" s="14">
        <f t="shared" si="3"/>
        <v>742.86266444567434</v>
      </c>
      <c r="K49" s="26">
        <f t="shared" si="4"/>
        <v>222.85879933370231</v>
      </c>
      <c r="L49" s="20"/>
      <c r="M49" s="20">
        <f t="shared" si="0"/>
        <v>440.87407705765173</v>
      </c>
      <c r="R49" s="20"/>
    </row>
    <row r="50" spans="1:18" hidden="1" x14ac:dyDescent="0.2">
      <c r="A50" s="7"/>
      <c r="B50" s="42">
        <v>17</v>
      </c>
      <c r="C50" s="14">
        <f t="shared" si="1"/>
        <v>117231.49715313507</v>
      </c>
      <c r="D50" s="14">
        <f>IF($D$8=Variables!$B$3,PPMT($D$18,B50,$K$9,-$J$10),IF($D$8=Variables!$B$6,PPMT($D$18,B50,$K$9,-$J$10),IF($D$8=Variables!$B$5,PPMT($D$18,B50-12,$K$9-12,-$C$45),IF($D$8=Variables!$B$4,0))))</f>
        <v>167.77510083865531</v>
      </c>
      <c r="E50" s="14">
        <f>IF($D$8=Variables!$B$3,IPMT($D$18,B50,$K$9,-$J$10),IF($D$8=Variables!$B$6,IPMT($D$18,B50,$K$9,-$J$10),IF($D$8=Variables!$B$5,IPMT($D$18,B50-12,$K$9-12,-$C$45),IF($D$8=Variables!$B$4,0))))</f>
        <v>440.24727095240155</v>
      </c>
      <c r="F50" s="14">
        <f>IF(AND($D$8=Variables!$B$3,$D$12="SI",$D$19="NO",$D$13="SI",B50&gt;=7),(PMT(0.06/12,$K$9,-$C$33)-PMT(0.045/12,$K$9,-$C$33)),IF(AND($D$8=Variables!$B$5,$D$19="NO",$D$12="SI",$D$13="SI",B50&gt;12),(PMT(0.06/12,$K$9,-$C$45)-PMT(0.045/12,$K$9,-$C$45)),IF(AND($D$8=Variables!$B$4,$D$12="SI",$D$19="NO",$D$13="SI",$D$15="NO",B50&gt;18),(PMT(0.06/12,$K$9,-$C$51)-PMT(0.045/12,$K$9,-$C$51)),IF(AND($D$8=Variables!$B$4,$D$12="SI",$D$19="NO",$D$13="SI",$D$15="SI",B50&gt;24),(PMT(0.06/12,$K$9,-$C$57)-PMT(0.045/12,$K$9,-$C$57)),0))))</f>
        <v>111.43825839224587</v>
      </c>
      <c r="G50" s="14">
        <f>+IF($D$8=Variables!$B$6,0.21*IPMT('Sim Reg N° 800'!$D$18,'Sim Reg N° 800'!B50,'Sim Reg N° 800'!$K$9,-'Sim Reg N° 800'!$J$10),0)+F50*0.21</f>
        <v>23.402034262371632</v>
      </c>
      <c r="H50" s="14">
        <f t="shared" si="2"/>
        <v>742.86266444567434</v>
      </c>
      <c r="I50" s="14">
        <f t="shared" si="6"/>
        <v>0</v>
      </c>
      <c r="J50" s="14">
        <f t="shared" si="3"/>
        <v>742.86266444567434</v>
      </c>
      <c r="K50" s="26">
        <f t="shared" si="4"/>
        <v>222.85879933370231</v>
      </c>
      <c r="L50" s="20"/>
      <c r="M50" s="20">
        <f t="shared" si="0"/>
        <v>440.24727095240149</v>
      </c>
      <c r="Q50" s="60"/>
      <c r="R50" s="20"/>
    </row>
    <row r="51" spans="1:18" hidden="1" x14ac:dyDescent="0.2">
      <c r="A51" s="7"/>
      <c r="B51" s="42">
        <v>18</v>
      </c>
      <c r="C51" s="14">
        <f>+C50-D51+IF(AND($D$8=Variables!$B$4,'Sim Reg N° 800'!D15="NO"),SUM(L34:L51))</f>
        <v>117063.09289566828</v>
      </c>
      <c r="D51" s="14">
        <f>IF($D$8=Variables!$B$3,PPMT($D$18,B51,$K$9,-$J$10),IF($D$8=Variables!$B$6,PPMT($D$18,B51,$K$9,-$J$10),IF($D$8=Variables!$B$5,PPMT($D$18,B51-12,$K$9-12,-$C$45),IF($D$8=Variables!$B$4,0))))</f>
        <v>168.40425746680029</v>
      </c>
      <c r="E51" s="14">
        <f>IF($D$8=Variables!$B$3,IPMT($D$18,B51,$K$9,-$J$10),IF($D$8=Variables!$B$6,IPMT($D$18,B51,$K$9,-$J$10),IF($D$8=Variables!$B$5,IPMT($D$18,B51-12,$K$9-12,-$C$45),IF($D$8=Variables!$B$4,0))))</f>
        <v>439.61811432425657</v>
      </c>
      <c r="F51" s="14">
        <f>IF(AND($D$8=Variables!$B$3,$D$12="SI",$D$19="NO",$D$13="SI",B51&gt;=7),(PMT(0.06/12,$K$9,-$C$33)-PMT(0.045/12,$K$9,-$C$33)),IF(AND($D$8=Variables!$B$5,$D$19="NO",$D$12="SI",$D$13="SI",B51&gt;12),(PMT(0.06/12,$K$9,-$C$45)-PMT(0.045/12,$K$9,-$C$45)),IF(AND($D$8=Variables!$B$4,$D$12="SI",$D$19="NO",$D$13="SI",$D$15="NO",B51&gt;18),(PMT(0.06/12,$K$9,-$C$51)-PMT(0.045/12,$K$9,-$C$51)),IF(AND($D$8=Variables!$B$4,$D$12="SI",$D$19="NO",$D$13="SI",$D$15="SI",B51&gt;24),(PMT(0.06/12,$K$9,-$C$57)-PMT(0.045/12,$K$9,-$C$57)),0))))</f>
        <v>111.43825839224587</v>
      </c>
      <c r="G51" s="14">
        <f>+IF($D$8=Variables!$B$6,0.21*IPMT('Sim Reg N° 800'!$D$18,'Sim Reg N° 800'!B51,'Sim Reg N° 800'!$K$9,-'Sim Reg N° 800'!$J$10),0)+F51*0.21</f>
        <v>23.402034262371632</v>
      </c>
      <c r="H51" s="14">
        <f t="shared" si="2"/>
        <v>742.86266444567434</v>
      </c>
      <c r="I51" s="14">
        <f t="shared" si="6"/>
        <v>0</v>
      </c>
      <c r="J51" s="14">
        <f t="shared" si="3"/>
        <v>742.86266444567434</v>
      </c>
      <c r="K51" s="26">
        <f t="shared" si="4"/>
        <v>222.85879933370231</v>
      </c>
      <c r="L51" s="20"/>
      <c r="M51" s="20">
        <f t="shared" si="0"/>
        <v>439.61811432425651</v>
      </c>
      <c r="R51" s="20"/>
    </row>
    <row r="52" spans="1:18" hidden="1" x14ac:dyDescent="0.2">
      <c r="A52" s="7"/>
      <c r="B52" s="42">
        <v>19</v>
      </c>
      <c r="C52" s="14">
        <f t="shared" si="1"/>
        <v>116894.05712223597</v>
      </c>
      <c r="D52" s="14">
        <f>IF($D$8=Variables!$B$3,PPMT($D$18,B52,$K$9,-$J$10),IF($D$8=Variables!$B$6,PPMT($D$18,B52,$K$9,-$J$10),IF($D$8=Variables!$B$5,PPMT($D$18,B52-12,$K$9-12,-$C$45),IF(AND($D$8=Variables!$B$4,$D$15="si"),0,PPMT($D$18,B52-18,$K$9-18,-$J$10-SUM($L$34:$L$51))))))</f>
        <v>169.03577343230077</v>
      </c>
      <c r="E52" s="14">
        <f>IF($D$8=Variables!$B$3,IPMT($D$18,B52,$K$9,-$J$10),IF($D$8=Variables!$B$6,IPMT($D$18,B52,$K$9,-$J$10),IF($D$8=Variables!$B$5,IPMT($D$18,B52-12,$K$9-12,-$C$45),IF(AND($D$8=Variables!$B$4,$D$15="si"),0,IPMT($D$18,B52-18,$K$9-18,-$J$10-SUM($L$34:$L$51))))))</f>
        <v>438.98659835875605</v>
      </c>
      <c r="F52" s="14">
        <f>IF(AND($D$8=Variables!$B$3,$D$12="SI",$D$19="NO",$D$13="SI",B52&gt;=7),(PMT(0.06/12,$K$9,-$C$33)-PMT(0.045/12,$K$9,-$C$33)),IF(AND($D$8=Variables!$B$5,$D$19="NO",$D$12="SI",$D$13="SI",B52&gt;12),(PMT(0.06/12,$K$9,-$C$45)-PMT(0.045/12,$K$9,-$C$45)),IF(AND($D$8=Variables!$B$4,$D$12="SI",$D$19="NO",$D$13="SI",$D$15="NO",B52&gt;18),(PMT(0.06/12,$K$9,-$C$51)-PMT(0.045/12,$K$9,-$C$51)),IF(AND($D$8=Variables!$B$4,$D$12="SI",$D$19="NO",$D$13="SI",$D$15="SI",B52&gt;24),(PMT(0.06/12,$K$9,-$C$57)-PMT(0.045/12,$K$9,-$C$57)),0))))</f>
        <v>111.43825839224587</v>
      </c>
      <c r="G52" s="14">
        <f>+IF($D$8=Variables!$B$6,0.21*IPMT('Sim Reg N° 800'!$D$18,'Sim Reg N° 800'!B52,'Sim Reg N° 800'!$K$9,-'Sim Reg N° 800'!$J$10),0)+F52*0.21</f>
        <v>23.402034262371632</v>
      </c>
      <c r="H52" s="14">
        <f t="shared" si="2"/>
        <v>742.86266444567434</v>
      </c>
      <c r="I52" s="14">
        <f>IF(AND(D8=Variables!B4,D15="NO"),J9*D20,I39)</f>
        <v>0</v>
      </c>
      <c r="J52" s="14">
        <f t="shared" si="3"/>
        <v>742.86266444567434</v>
      </c>
      <c r="K52" s="26">
        <f t="shared" si="4"/>
        <v>222.85879933370231</v>
      </c>
      <c r="L52" s="20"/>
      <c r="M52" s="20"/>
      <c r="R52" s="20"/>
    </row>
    <row r="53" spans="1:18" hidden="1" x14ac:dyDescent="0.2">
      <c r="A53" s="7"/>
      <c r="B53" s="42">
        <v>20</v>
      </c>
      <c r="C53" s="14">
        <f t="shared" si="1"/>
        <v>116724.38746465329</v>
      </c>
      <c r="D53" s="14">
        <f>IF($D$8=Variables!$B$3,PPMT($D$18,B53,$K$9,-$J$10),IF($D$8=Variables!$B$6,PPMT($D$18,B53,$K$9,-$J$10),IF($D$8=Variables!$B$5,PPMT($D$18,B53-12,$K$9-12,-$C$45),IF(AND($D$8=Variables!$B$4,$D$15="si"),0,PPMT($D$18,B53-18,$K$9-18,-$J$10-SUM($L$34:$L$51))))))</f>
        <v>169.66965758267187</v>
      </c>
      <c r="E53" s="14">
        <f>IF($D$8=Variables!$B$3,IPMT($D$18,B53,$K$9,-$J$10),IF($D$8=Variables!$B$6,IPMT($D$18,B53,$K$9,-$J$10),IF($D$8=Variables!$B$5,IPMT($D$18,B53-12,$K$9-12,-$C$45),IF(AND($D$8=Variables!$B$4,$D$15="si"),0,IPMT($D$18,B53-18,$K$9-18,-$J$10-SUM($L$34:$L$51))))))</f>
        <v>438.35271420838495</v>
      </c>
      <c r="F53" s="14">
        <f>IF(AND($D$8=Variables!$B$3,$D$12="SI",$D$19="NO",$D$13="SI",B53&gt;=7),(PMT(0.06/12,$K$9,-$C$33)-PMT(0.045/12,$K$9,-$C$33)),IF(AND($D$8=Variables!$B$5,$D$19="NO",$D$12="SI",$D$13="SI",B53&gt;12),(PMT(0.06/12,$K$9,-$C$45)-PMT(0.045/12,$K$9,-$C$45)),IF(AND($D$8=Variables!$B$4,$D$12="SI",$D$19="NO",$D$13="SI",$D$15="NO",B53&gt;18),(PMT(0.06/12,$K$9,-$C$51)-PMT(0.045/12,$K$9,-$C$51)),IF(AND($D$8=Variables!$B$4,$D$12="SI",$D$19="NO",$D$13="SI",$D$15="SI",B53&gt;24),(PMT(0.06/12,$K$9,-$C$57)-PMT(0.045/12,$K$9,-$C$57)),0))))</f>
        <v>111.43825839224587</v>
      </c>
      <c r="G53" s="14">
        <f>+IF($D$8=Variables!$B$6,0.21*IPMT('Sim Reg N° 800'!$D$18,'Sim Reg N° 800'!B53,'Sim Reg N° 800'!$K$9,-'Sim Reg N° 800'!$J$10),0)+F53*0.21</f>
        <v>23.402034262371632</v>
      </c>
      <c r="H53" s="14">
        <f t="shared" si="2"/>
        <v>742.86266444567434</v>
      </c>
      <c r="I53" s="14">
        <f>+I41</f>
        <v>0</v>
      </c>
      <c r="J53" s="14">
        <f t="shared" si="3"/>
        <v>742.86266444567434</v>
      </c>
      <c r="K53" s="26">
        <f t="shared" si="4"/>
        <v>222.85879933370231</v>
      </c>
      <c r="L53" s="20"/>
      <c r="M53" s="20"/>
      <c r="R53" s="20"/>
    </row>
    <row r="54" spans="1:18" hidden="1" x14ac:dyDescent="0.2">
      <c r="A54" s="7"/>
      <c r="B54" s="42">
        <v>21</v>
      </c>
      <c r="C54" s="14">
        <f t="shared" si="1"/>
        <v>116554.08154585469</v>
      </c>
      <c r="D54" s="14">
        <f>IF($D$8=Variables!$B$3,PPMT($D$18,B54,$K$9,-$J$10),IF($D$8=Variables!$B$6,PPMT($D$18,B54,$K$9,-$J$10),IF($D$8=Variables!$B$5,PPMT($D$18,B54-12,$K$9-12,-$C$45),IF(AND($D$8=Variables!$B$4,$D$15="si"),0,PPMT($D$18,B54-18,$K$9-18,-$J$10-SUM($L$34:$L$51))))))</f>
        <v>170.30591879860694</v>
      </c>
      <c r="E54" s="14">
        <f>IF($D$8=Variables!$B$3,IPMT($D$18,B54,$K$9,-$J$10),IF($D$8=Variables!$B$6,IPMT($D$18,B54,$K$9,-$J$10),IF($D$8=Variables!$B$5,IPMT($D$18,B54-12,$K$9-12,-$C$45),IF(AND($D$8=Variables!$B$4,$D$15="si"),0,IPMT($D$18,B54-18,$K$9-18,-$J$10-SUM($L$34:$L$51))))))</f>
        <v>437.71645299244989</v>
      </c>
      <c r="F54" s="14">
        <f>IF(AND($D$8=Variables!$B$3,$D$12="SI",$D$19="NO",$D$13="SI",B54&gt;=7),(PMT(0.06/12,$K$9,-$C$33)-PMT(0.045/12,$K$9,-$C$33)),IF(AND($D$8=Variables!$B$5,$D$19="NO",$D$12="SI",$D$13="SI",B54&gt;12),(PMT(0.06/12,$K$9,-$C$45)-PMT(0.045/12,$K$9,-$C$45)),IF(AND($D$8=Variables!$B$4,$D$12="SI",$D$19="NO",$D$13="SI",$D$15="NO",B54&gt;18),(PMT(0.06/12,$K$9,-$C$51)-PMT(0.045/12,$K$9,-$C$51)),IF(AND($D$8=Variables!$B$4,$D$12="SI",$D$19="NO",$D$13="SI",$D$15="SI",B54&gt;24),(PMT(0.06/12,$K$9,-$C$57)-PMT(0.045/12,$K$9,-$C$57)),0))))</f>
        <v>111.43825839224587</v>
      </c>
      <c r="G54" s="14">
        <f>+IF($D$8=Variables!$B$6,0.21*IPMT('Sim Reg N° 800'!$D$18,'Sim Reg N° 800'!B54,'Sim Reg N° 800'!$K$9,-'Sim Reg N° 800'!$J$10),0)+F54*0.21</f>
        <v>23.402034262371632</v>
      </c>
      <c r="H54" s="14">
        <f t="shared" si="2"/>
        <v>742.86266444567434</v>
      </c>
      <c r="I54" s="14">
        <f t="shared" ref="I54:I93" si="7">+I42</f>
        <v>0</v>
      </c>
      <c r="J54" s="14">
        <f t="shared" si="3"/>
        <v>742.86266444567434</v>
      </c>
      <c r="K54" s="26">
        <f t="shared" si="4"/>
        <v>222.85879933370231</v>
      </c>
      <c r="L54" s="20"/>
      <c r="M54" s="20"/>
      <c r="R54" s="20"/>
    </row>
    <row r="55" spans="1:18" hidden="1" x14ac:dyDescent="0.2">
      <c r="A55" s="7"/>
      <c r="B55" s="42">
        <v>22</v>
      </c>
      <c r="C55" s="14">
        <f t="shared" si="1"/>
        <v>116383.13697986059</v>
      </c>
      <c r="D55" s="14">
        <f>IF($D$8=Variables!$B$3,PPMT($D$18,B55,$K$9,-$J$10),IF($D$8=Variables!$B$6,PPMT($D$18,B55,$K$9,-$J$10),IF($D$8=Variables!$B$5,PPMT($D$18,B55-12,$K$9-12,-$C$45),IF(AND($D$8=Variables!$B$4,$D$15="si"),0,PPMT($D$18,B55-18,$K$9-18,-$J$10-SUM($L$34:$L$51))))))</f>
        <v>170.94456599410168</v>
      </c>
      <c r="E55" s="14">
        <f>IF($D$8=Variables!$B$3,IPMT($D$18,B55,$K$9,-$J$10),IF($D$8=Variables!$B$6,IPMT($D$18,B55,$K$9,-$J$10),IF($D$8=Variables!$B$5,IPMT($D$18,B55-12,$K$9-12,-$C$45),IF(AND($D$8=Variables!$B$4,$D$15="si"),0,IPMT($D$18,B55-18,$K$9-18,-$J$10-SUM($L$34:$L$51))))))</f>
        <v>437.0778057969552</v>
      </c>
      <c r="F55" s="14">
        <f>IF(AND($D$8=Variables!$B$3,$D$12="SI",$D$19="NO",$D$13="SI",B55&gt;=7),(PMT(0.06/12,$K$9,-$C$33)-PMT(0.045/12,$K$9,-$C$33)),IF(AND($D$8=Variables!$B$5,$D$19="NO",$D$12="SI",$D$13="SI",B55&gt;12),(PMT(0.06/12,$K$9,-$C$45)-PMT(0.045/12,$K$9,-$C$45)),IF(AND($D$8=Variables!$B$4,$D$12="SI",$D$19="NO",$D$13="SI",$D$15="NO",B55&gt;18),(PMT(0.06/12,$K$9,-$C$51)-PMT(0.045/12,$K$9,-$C$51)),IF(AND($D$8=Variables!$B$4,$D$12="SI",$D$19="NO",$D$13="SI",$D$15="SI",B55&gt;24),(PMT(0.06/12,$K$9,-$C$57)-PMT(0.045/12,$K$9,-$C$57)),0))))</f>
        <v>111.43825839224587</v>
      </c>
      <c r="G55" s="14">
        <f>+IF($D$8=Variables!$B$6,0.21*IPMT('Sim Reg N° 800'!$D$18,'Sim Reg N° 800'!B55,'Sim Reg N° 800'!$K$9,-'Sim Reg N° 800'!$J$10),0)+F55*0.21</f>
        <v>23.402034262371632</v>
      </c>
      <c r="H55" s="14">
        <f t="shared" si="2"/>
        <v>742.86266444567434</v>
      </c>
      <c r="I55" s="14">
        <f t="shared" si="7"/>
        <v>0</v>
      </c>
      <c r="J55" s="14">
        <f t="shared" si="3"/>
        <v>742.86266444567434</v>
      </c>
      <c r="K55" s="26">
        <f t="shared" si="4"/>
        <v>222.85879933370231</v>
      </c>
      <c r="L55" s="20"/>
      <c r="M55" s="20"/>
      <c r="R55" s="20"/>
    </row>
    <row r="56" spans="1:18" hidden="1" x14ac:dyDescent="0.2">
      <c r="A56" s="7"/>
      <c r="B56" s="42">
        <v>23</v>
      </c>
      <c r="C56" s="14">
        <f t="shared" si="1"/>
        <v>116211.551371744</v>
      </c>
      <c r="D56" s="14">
        <f>IF($D$8=Variables!$B$3,PPMT($D$18,B56,$K$9,-$J$10),IF($D$8=Variables!$B$6,PPMT($D$18,B56,$K$9,-$J$10),IF($D$8=Variables!$B$5,PPMT($D$18,B56-12,$K$9-12,-$C$45),IF(AND($D$8=Variables!$B$4,$D$15="si"),0,PPMT($D$18,B56-18,$K$9-18,-$J$10-SUM($L$34:$L$51))))))</f>
        <v>171.58560811657961</v>
      </c>
      <c r="E56" s="14">
        <f>IF($D$8=Variables!$B$3,IPMT($D$18,B56,$K$9,-$J$10),IF($D$8=Variables!$B$6,IPMT($D$18,B56,$K$9,-$J$10),IF($D$8=Variables!$B$5,IPMT($D$18,B56-12,$K$9-12,-$C$45),IF(AND($D$8=Variables!$B$4,$D$15="si"),0,IPMT($D$18,B56-18,$K$9-18,-$J$10-SUM($L$34:$L$51))))))</f>
        <v>436.43676367447722</v>
      </c>
      <c r="F56" s="14">
        <f>IF(AND($D$8=Variables!$B$3,$D$12="SI",$D$19="NO",$D$13="SI",B56&gt;=7),(PMT(0.06/12,$K$9,-$C$33)-PMT(0.045/12,$K$9,-$C$33)),IF(AND($D$8=Variables!$B$5,$D$19="NO",$D$12="SI",$D$13="SI",B56&gt;12),(PMT(0.06/12,$K$9,-$C$45)-PMT(0.045/12,$K$9,-$C$45)),IF(AND($D$8=Variables!$B$4,$D$12="SI",$D$19="NO",$D$13="SI",$D$15="NO",B56&gt;18),(PMT(0.06/12,$K$9,-$C$51)-PMT(0.045/12,$K$9,-$C$51)),IF(AND($D$8=Variables!$B$4,$D$12="SI",$D$19="NO",$D$13="SI",$D$15="SI",B56&gt;24),(PMT(0.06/12,$K$9,-$C$57)-PMT(0.045/12,$K$9,-$C$57)),0))))</f>
        <v>111.43825839224587</v>
      </c>
      <c r="G56" s="14">
        <f>+IF($D$8=Variables!$B$6,0.21*IPMT('Sim Reg N° 800'!$D$18,'Sim Reg N° 800'!B56,'Sim Reg N° 800'!$K$9,-'Sim Reg N° 800'!$J$10),0)+F56*0.21</f>
        <v>23.402034262371632</v>
      </c>
      <c r="H56" s="14">
        <f t="shared" si="2"/>
        <v>742.86266444567434</v>
      </c>
      <c r="I56" s="14">
        <f t="shared" si="7"/>
        <v>0</v>
      </c>
      <c r="J56" s="14">
        <f t="shared" si="3"/>
        <v>742.86266444567434</v>
      </c>
      <c r="K56" s="26">
        <f t="shared" si="4"/>
        <v>222.85879933370231</v>
      </c>
      <c r="L56" s="20"/>
      <c r="M56" s="20"/>
      <c r="R56" s="20"/>
    </row>
    <row r="57" spans="1:18" hidden="1" x14ac:dyDescent="0.2">
      <c r="A57" s="7"/>
      <c r="B57" s="42">
        <v>24</v>
      </c>
      <c r="C57" s="14">
        <f>+C56-D57+IF(AND($D$8=Variables!$B$4,'Sim Reg N° 800'!D15="SI"),(SUM(M34:M57)))</f>
        <v>116039.32231759699</v>
      </c>
      <c r="D57" s="14">
        <f>IF($D$8=Variables!$B$3,PPMT($D$18,B57,$K$9,-$J$10),IF($D$8=Variables!$B$6,PPMT($D$18,B57,$K$9,-$J$10),IF($D$8=Variables!$B$5,PPMT($D$18,B57-12,$K$9-12,-$C$45),IF(AND($D$8=Variables!$B$4,$D$15="si"),0,PPMT($D$18,B57-18,$K$9-18,-$J$10-SUM($L$34:$L$51))))))</f>
        <v>172.22905414701674</v>
      </c>
      <c r="E57" s="14">
        <f>IF($D$8=Variables!$B$3,IPMT($D$18,B57,$K$9,-$J$10),IF($D$8=Variables!$B$6,IPMT($D$18,B57,$K$9,-$J$10),IF($D$8=Variables!$B$5,IPMT($D$18,B57-12,$K$9-12,-$C$45),IF(AND($D$8=Variables!$B$4,$D$15="si"),0,IPMT($D$18,B57-18,$K$9-18,-$J$10-SUM($L$34:$L$51))))))</f>
        <v>435.79331764404003</v>
      </c>
      <c r="F57" s="14">
        <f>IF(AND($D$8=Variables!$B$3,$D$12="SI",$D$19="NO",$D$13="SI",B57&gt;=7),(PMT(0.06/12,$K$9,-$C$33)-PMT(0.045/12,$K$9,-$C$33)),IF(AND($D$8=Variables!$B$5,$D$19="NO",$D$12="SI",$D$13="SI",B57&gt;12),(PMT(0.06/12,$K$9,-$C$45)-PMT(0.045/12,$K$9,-$C$45)),IF(AND($D$8=Variables!$B$4,$D$12="SI",$D$19="NO",$D$13="SI",$D$15="NO",B57&gt;18),(PMT(0.06/12,$K$9,-$C$51)-PMT(0.045/12,$K$9,-$C$51)),IF(AND($D$8=Variables!$B$4,$D$12="SI",$D$19="NO",$D$13="SI",$D$15="SI",B57&gt;24),(PMT(0.06/12,$K$9,-$C$57)-PMT(0.045/12,$K$9,-$C$57)),0))))</f>
        <v>111.43825839224587</v>
      </c>
      <c r="G57" s="14">
        <f>+IF($D$8=Variables!$B$6,0.21*IPMT('Sim Reg N° 800'!$D$18,'Sim Reg N° 800'!B57,'Sim Reg N° 800'!$K$9,-'Sim Reg N° 800'!$J$10),0)+F57*0.21</f>
        <v>23.402034262371632</v>
      </c>
      <c r="H57" s="14">
        <f t="shared" si="2"/>
        <v>742.86266444567423</v>
      </c>
      <c r="I57" s="14">
        <f t="shared" si="7"/>
        <v>0</v>
      </c>
      <c r="J57" s="14">
        <f t="shared" si="3"/>
        <v>742.86266444567423</v>
      </c>
      <c r="K57" s="26">
        <f t="shared" si="4"/>
        <v>222.85879933370225</v>
      </c>
      <c r="L57" s="20"/>
      <c r="M57" s="20"/>
      <c r="R57" s="20"/>
    </row>
    <row r="58" spans="1:18" hidden="1" x14ac:dyDescent="0.2">
      <c r="A58" s="7"/>
      <c r="B58" s="42">
        <v>25</v>
      </c>
      <c r="C58" s="14">
        <f t="shared" si="1"/>
        <v>115866.44740449692</v>
      </c>
      <c r="D58" s="14">
        <f>IF($D$8=Variables!$B$3,PPMT($D$18,B58,$K$9,-$J$10),IF($D$8=Variables!$B$6,PPMT($D$18,B58,$K$9,-$J$10),IF($D$8=Variables!$B$5,PPMT($D$18,B58-12,$K$9-12,-$C$45),IF(AND($D$8=Variables!$B$4,$D$15="si"),0,PPMT($D$18,B58-18,$K$9-18,-$J$10-SUM($L$34:$L$51))))))+IF(AND($D$8=Variables!$B$4,'Sim Reg N° 800'!$D$15="SI"),PPMT($D$18,B58-24,$K$9-24,-$J$10-SUM($M$34:$M$57)))</f>
        <v>172.874913100068</v>
      </c>
      <c r="E58" s="14">
        <f>IF($D$8=Variables!$B$3,IPMT($D$18,B58,$K$9,-$J$10),IF($D$8=Variables!$B$6,IPMT($D$18,B58,$K$9,-$J$10),IF($D$8=Variables!$B$5,IPMT($D$18,B58-12,$K$9-12,-$C$45),IF(AND($D$8=Variables!$B$4,$D$15="si"),0,IPMT($D$18,B58-18,$K$9-18,-$J$10-SUM($L$34:$L$51))))))+IF(AND($D$8=Variables!$B$4,'Sim Reg N° 800'!$D$15="SI"),IPMT($D$18,B58-24,$K$9-24,-$J$10-SUM($M$34:$M$57)))</f>
        <v>435.1474586909888</v>
      </c>
      <c r="F58" s="14">
        <f>IF(AND($D$8=Variables!$B$3,$D$12="SI",$D$19="NO",$D$13="SI",B58&gt;=7),(PMT(0.06/12,$K$9,-$C$33)-PMT(0.045/12,$K$9,-$C$33)),IF(AND($D$8=Variables!$B$5,$D$19="NO",$D$12="SI",$D$13="SI",B58&gt;12),(PMT(0.06/12,$K$9,-$C$45)-PMT(0.045/12,$K$9,-$C$45)),IF(AND($D$8=Variables!$B$4,$D$12="SI",$D$19="NO",$D$13="SI",$D$15="NO",B58&gt;18),(PMT(0.06/12,$K$9,-$C$51)-PMT(0.045/12,$K$9,-$C$51)),IF(AND($D$8=Variables!$B$4,$D$12="SI",$D$19="NO",$D$13="SI",$D$15="SI",B58&gt;24),(PMT(0.06/12,$K$9,-$C$57)-PMT(0.045/12,$K$9,-$C$57)),0))))</f>
        <v>111.43825839224587</v>
      </c>
      <c r="G58" s="14">
        <f>+IF($D$8=Variables!$B$6,0.21*IPMT('Sim Reg N° 800'!$D$18,'Sim Reg N° 800'!B58,'Sim Reg N° 800'!$K$9,-'Sim Reg N° 800'!$J$10),0)+F58*0.21</f>
        <v>23.402034262371632</v>
      </c>
      <c r="H58" s="14">
        <f t="shared" si="2"/>
        <v>742.86266444567423</v>
      </c>
      <c r="I58" s="14">
        <f>IF(AND(D8=Variables!B4,D15="SI"),J9*D20,I46)</f>
        <v>95.999999999999986</v>
      </c>
      <c r="J58" s="14">
        <f t="shared" si="3"/>
        <v>838.86266444567423</v>
      </c>
      <c r="K58" s="26">
        <f t="shared" si="4"/>
        <v>251.65879933370226</v>
      </c>
      <c r="L58" s="21"/>
      <c r="M58" s="19"/>
      <c r="R58" s="20"/>
    </row>
    <row r="59" spans="1:18" hidden="1" x14ac:dyDescent="0.2">
      <c r="A59" s="7"/>
      <c r="B59" s="42">
        <v>26</v>
      </c>
      <c r="C59" s="14">
        <f t="shared" si="1"/>
        <v>115692.92421047273</v>
      </c>
      <c r="D59" s="14">
        <f>IF($D$8=Variables!$B$3,PPMT($D$18,B59,$K$9,-$J$10),IF($D$8=Variables!$B$6,PPMT($D$18,B59,$K$9,-$J$10),IF($D$8=Variables!$B$5,PPMT($D$18,B59-12,$K$9-12,-$C$45),IF(AND($D$8=Variables!$B$4,$D$15="si"),0,PPMT($D$18,B59-18,$K$9-18,-$J$10-SUM($L$34:$L$51))))))+IF(AND($D$8=Variables!$B$4,'Sim Reg N° 800'!$D$15="SI"),PPMT($D$18,B59-24,$K$9-24,-$J$10-SUM($M$34:$M$57)))</f>
        <v>173.52319402419332</v>
      </c>
      <c r="E59" s="14">
        <f>IF($D$8=Variables!$B$3,IPMT($D$18,B59,$K$9,-$J$10),IF($D$8=Variables!$B$6,IPMT($D$18,B59,$K$9,-$J$10),IF($D$8=Variables!$B$5,IPMT($D$18,B59-12,$K$9-12,-$C$45),IF(AND($D$8=Variables!$B$4,$D$15="si"),0,IPMT($D$18,B59-18,$K$9-18,-$J$10-SUM($L$34:$L$51))))))+IF(AND($D$8=Variables!$B$4,'Sim Reg N° 800'!$D$15="SI"),IPMT($D$18,B59-24,$K$9-24,-$J$10-SUM($M$34:$M$57)))</f>
        <v>434.49917776686351</v>
      </c>
      <c r="F59" s="14">
        <f>IF(AND($D$8=Variables!$B$3,$D$12="SI",$D$19="NO",$D$13="SI",B59&gt;=7),(PMT(0.06/12,$K$9,-$C$33)-PMT(0.045/12,$K$9,-$C$33)),IF(AND($D$8=Variables!$B$5,$D$19="NO",$D$12="SI",$D$13="SI",B59&gt;12),(PMT(0.06/12,$K$9,-$C$45)-PMT(0.045/12,$K$9,-$C$45)),IF(AND($D$8=Variables!$B$4,$D$12="SI",$D$19="NO",$D$13="SI",$D$15="NO",B59&gt;18),(PMT(0.06/12,$K$9,-$C$51)-PMT(0.045/12,$K$9,-$C$51)),IF(AND($D$8=Variables!$B$4,$D$12="SI",$D$19="NO",$D$13="SI",$D$15="SI",B59&gt;24),(PMT(0.06/12,$K$9,-$C$57)-PMT(0.045/12,$K$9,-$C$57)),0))))</f>
        <v>111.43825839224587</v>
      </c>
      <c r="G59" s="14">
        <f>+IF($D$8=Variables!$B$6,0.21*IPMT('Sim Reg N° 800'!$D$18,'Sim Reg N° 800'!B59,'Sim Reg N° 800'!$K$9,-'Sim Reg N° 800'!$J$10),0)+F59*0.21</f>
        <v>23.402034262371632</v>
      </c>
      <c r="H59" s="14">
        <f t="shared" si="2"/>
        <v>742.86266444567434</v>
      </c>
      <c r="I59" s="14">
        <f>+I47</f>
        <v>0</v>
      </c>
      <c r="J59" s="14">
        <f t="shared" si="3"/>
        <v>742.86266444567434</v>
      </c>
      <c r="K59" s="26">
        <f t="shared" si="4"/>
        <v>222.85879933370231</v>
      </c>
      <c r="L59" s="21"/>
      <c r="M59" s="19"/>
      <c r="R59" s="20"/>
    </row>
    <row r="60" spans="1:18" hidden="1" x14ac:dyDescent="0.2">
      <c r="A60" s="7"/>
      <c r="B60" s="42">
        <v>27</v>
      </c>
      <c r="C60" s="14">
        <f t="shared" si="1"/>
        <v>115518.75030447094</v>
      </c>
      <c r="D60" s="14">
        <f>IF($D$8=Variables!$B$3,PPMT($D$18,B60,$K$9,-$J$10),IF($D$8=Variables!$B$6,PPMT($D$18,B60,$K$9,-$J$10),IF($D$8=Variables!$B$5,PPMT($D$18,B60-12,$K$9-12,-$C$45),IF(AND($D$8=Variables!$B$4,$D$15="si"),0,PPMT($D$18,B60-18,$K$9-18,-$J$10-SUM($L$34:$L$51))))))+IF(AND($D$8=Variables!$B$4,'Sim Reg N° 800'!$D$15="SI"),PPMT($D$18,B60-24,$K$9-24,-$J$10-SUM($M$34:$M$57)))</f>
        <v>174.17390600178405</v>
      </c>
      <c r="E60" s="14">
        <f>IF($D$8=Variables!$B$3,IPMT($D$18,B60,$K$9,-$J$10),IF($D$8=Variables!$B$6,IPMT($D$18,B60,$K$9,-$J$10),IF($D$8=Variables!$B$5,IPMT($D$18,B60-12,$K$9-12,-$C$45),IF(AND($D$8=Variables!$B$4,$D$15="si"),0,IPMT($D$18,B60-18,$K$9-18,-$J$10-SUM($L$34:$L$51))))))+IF(AND($D$8=Variables!$B$4,'Sim Reg N° 800'!$D$15="SI"),IPMT($D$18,B60-24,$K$9-24,-$J$10-SUM($M$34:$M$57)))</f>
        <v>433.84846578927284</v>
      </c>
      <c r="F60" s="14">
        <f>IF(AND($D$8=Variables!$B$3,$D$12="SI",$D$19="NO",$D$13="SI",B60&gt;=7),(PMT(0.06/12,$K$9,-$C$33)-PMT(0.045/12,$K$9,-$C$33)),IF(AND($D$8=Variables!$B$5,$D$19="NO",$D$12="SI",$D$13="SI",B60&gt;12),(PMT(0.06/12,$K$9,-$C$45)-PMT(0.045/12,$K$9,-$C$45)),IF(AND($D$8=Variables!$B$4,$D$12="SI",$D$19="NO",$D$13="SI",$D$15="NO",B60&gt;18),(PMT(0.06/12,$K$9,-$C$51)-PMT(0.045/12,$K$9,-$C$51)),IF(AND($D$8=Variables!$B$4,$D$12="SI",$D$19="NO",$D$13="SI",$D$15="SI",B60&gt;24),(PMT(0.06/12,$K$9,-$C$57)-PMT(0.045/12,$K$9,-$C$57)),0))))</f>
        <v>111.43825839224587</v>
      </c>
      <c r="G60" s="14">
        <f>+IF($D$8=Variables!$B$6,0.21*IPMT('Sim Reg N° 800'!$D$18,'Sim Reg N° 800'!B60,'Sim Reg N° 800'!$K$9,-'Sim Reg N° 800'!$J$10),0)+F60*0.21</f>
        <v>23.402034262371632</v>
      </c>
      <c r="H60" s="14">
        <f t="shared" si="2"/>
        <v>742.86266444567434</v>
      </c>
      <c r="I60" s="14">
        <f t="shared" si="7"/>
        <v>0</v>
      </c>
      <c r="J60" s="14">
        <f t="shared" si="3"/>
        <v>742.86266444567434</v>
      </c>
      <c r="K60" s="26">
        <f t="shared" si="4"/>
        <v>222.85879933370231</v>
      </c>
      <c r="L60" s="21"/>
      <c r="M60" s="19"/>
      <c r="R60" s="20"/>
    </row>
    <row r="61" spans="1:18" hidden="1" x14ac:dyDescent="0.2">
      <c r="A61" s="7"/>
      <c r="B61" s="42">
        <v>28</v>
      </c>
      <c r="C61" s="14">
        <f t="shared" si="1"/>
        <v>115343.92324632165</v>
      </c>
      <c r="D61" s="14">
        <f>IF($D$8=Variables!$B$3,PPMT($D$18,B61,$K$9,-$J$10),IF($D$8=Variables!$B$6,PPMT($D$18,B61,$K$9,-$J$10),IF($D$8=Variables!$B$5,PPMT($D$18,B61-12,$K$9-12,-$C$45),IF(AND($D$8=Variables!$B$4,$D$15="si"),0,PPMT($D$18,B61-18,$K$9-18,-$J$10-SUM($L$34:$L$51))))))+IF(AND($D$8=Variables!$B$4,'Sim Reg N° 800'!$D$15="SI"),PPMT($D$18,B61-24,$K$9-24,-$J$10-SUM($M$34:$M$57)))</f>
        <v>174.82705814929068</v>
      </c>
      <c r="E61" s="14">
        <f>IF($D$8=Variables!$B$3,IPMT($D$18,B61,$K$9,-$J$10),IF($D$8=Variables!$B$6,IPMT($D$18,B61,$K$9,-$J$10),IF($D$8=Variables!$B$5,IPMT($D$18,B61-12,$K$9-12,-$C$45),IF(AND($D$8=Variables!$B$4,$D$15="si"),0,IPMT($D$18,B61-18,$K$9-18,-$J$10-SUM($L$34:$L$51))))))+IF(AND($D$8=Variables!$B$4,'Sim Reg N° 800'!$D$15="SI"),IPMT($D$18,B61-24,$K$9-24,-$J$10-SUM($M$34:$M$57)))</f>
        <v>433.19531364176612</v>
      </c>
      <c r="F61" s="14">
        <f>IF(AND($D$8=Variables!$B$3,$D$12="SI",$D$19="NO",$D$13="SI",B61&gt;=7),(PMT(0.06/12,$K$9,-$C$33)-PMT(0.045/12,$K$9,-$C$33)),IF(AND($D$8=Variables!$B$5,$D$19="NO",$D$12="SI",$D$13="SI",B61&gt;12),(PMT(0.06/12,$K$9,-$C$45)-PMT(0.045/12,$K$9,-$C$45)),IF(AND($D$8=Variables!$B$4,$D$12="SI",$D$19="NO",$D$13="SI",$D$15="NO",B61&gt;18),(PMT(0.06/12,$K$9,-$C$51)-PMT(0.045/12,$K$9,-$C$51)),IF(AND($D$8=Variables!$B$4,$D$12="SI",$D$19="NO",$D$13="SI",$D$15="SI",B61&gt;24),(PMT(0.06/12,$K$9,-$C$57)-PMT(0.045/12,$K$9,-$C$57)),0))))</f>
        <v>111.43825839224587</v>
      </c>
      <c r="G61" s="14">
        <f>+IF($D$8=Variables!$B$6,0.21*IPMT('Sim Reg N° 800'!$D$18,'Sim Reg N° 800'!B61,'Sim Reg N° 800'!$K$9,-'Sim Reg N° 800'!$J$10),0)+F61*0.21</f>
        <v>23.402034262371632</v>
      </c>
      <c r="H61" s="14">
        <f t="shared" si="2"/>
        <v>742.86266444567423</v>
      </c>
      <c r="I61" s="14">
        <f t="shared" si="7"/>
        <v>0</v>
      </c>
      <c r="J61" s="14">
        <f t="shared" si="3"/>
        <v>742.86266444567423</v>
      </c>
      <c r="K61" s="26">
        <f t="shared" si="4"/>
        <v>222.85879933370225</v>
      </c>
      <c r="L61" s="21"/>
      <c r="M61" s="19"/>
      <c r="R61" s="20"/>
    </row>
    <row r="62" spans="1:18" hidden="1" x14ac:dyDescent="0.2">
      <c r="A62" s="7"/>
      <c r="B62" s="42">
        <v>29</v>
      </c>
      <c r="C62" s="14">
        <f t="shared" si="1"/>
        <v>115168.4405867043</v>
      </c>
      <c r="D62" s="14">
        <f>IF($D$8=Variables!$B$3,PPMT($D$18,B62,$K$9,-$J$10),IF($D$8=Variables!$B$6,PPMT($D$18,B62,$K$9,-$J$10),IF($D$8=Variables!$B$5,PPMT($D$18,B62-12,$K$9-12,-$C$45),IF(AND($D$8=Variables!$B$4,$D$15="si"),0,PPMT($D$18,B62-18,$K$9-18,-$J$10-SUM($L$34:$L$51))))))+IF(AND($D$8=Variables!$B$4,'Sim Reg N° 800'!$D$15="SI"),PPMT($D$18,B62-24,$K$9-24,-$J$10-SUM($M$34:$M$57)))</f>
        <v>175.48265961735058</v>
      </c>
      <c r="E62" s="14">
        <f>IF($D$8=Variables!$B$3,IPMT($D$18,B62,$K$9,-$J$10),IF($D$8=Variables!$B$6,IPMT($D$18,B62,$K$9,-$J$10),IF($D$8=Variables!$B$5,IPMT($D$18,B62-12,$K$9-12,-$C$45),IF(AND($D$8=Variables!$B$4,$D$15="si"),0,IPMT($D$18,B62-18,$K$9-18,-$J$10-SUM($L$34:$L$51))))))+IF(AND($D$8=Variables!$B$4,'Sim Reg N° 800'!$D$15="SI"),IPMT($D$18,B62-24,$K$9-24,-$J$10-SUM($M$34:$M$57)))</f>
        <v>432.53971217370628</v>
      </c>
      <c r="F62" s="14">
        <f>IF(AND($D$8=Variables!$B$3,$D$12="SI",$D$19="NO",$D$13="SI",B62&gt;=7),(PMT(0.06/12,$K$9,-$C$33)-PMT(0.045/12,$K$9,-$C$33)),IF(AND($D$8=Variables!$B$5,$D$19="NO",$D$12="SI",$D$13="SI",B62&gt;12),(PMT(0.06/12,$K$9,-$C$45)-PMT(0.045/12,$K$9,-$C$45)),IF(AND($D$8=Variables!$B$4,$D$12="SI",$D$19="NO",$D$13="SI",$D$15="NO",B62&gt;18),(PMT(0.06/12,$K$9,-$C$51)-PMT(0.045/12,$K$9,-$C$51)),IF(AND($D$8=Variables!$B$4,$D$12="SI",$D$19="NO",$D$13="SI",$D$15="SI",B62&gt;24),(PMT(0.06/12,$K$9,-$C$57)-PMT(0.045/12,$K$9,-$C$57)),0))))</f>
        <v>111.43825839224587</v>
      </c>
      <c r="G62" s="14">
        <f>+IF($D$8=Variables!$B$6,0.21*IPMT('Sim Reg N° 800'!$D$18,'Sim Reg N° 800'!B62,'Sim Reg N° 800'!$K$9,-'Sim Reg N° 800'!$J$10),0)+F62*0.21</f>
        <v>23.402034262371632</v>
      </c>
      <c r="H62" s="14">
        <f t="shared" si="2"/>
        <v>742.86266444567434</v>
      </c>
      <c r="I62" s="14">
        <f t="shared" si="7"/>
        <v>0</v>
      </c>
      <c r="J62" s="14">
        <f t="shared" si="3"/>
        <v>742.86266444567434</v>
      </c>
      <c r="K62" s="26">
        <f t="shared" si="4"/>
        <v>222.85879933370231</v>
      </c>
      <c r="L62" s="21"/>
      <c r="M62" s="19"/>
      <c r="R62" s="20"/>
    </row>
    <row r="63" spans="1:18" hidden="1" x14ac:dyDescent="0.2">
      <c r="A63" s="7"/>
      <c r="B63" s="42">
        <v>30</v>
      </c>
      <c r="C63" s="14">
        <f t="shared" si="1"/>
        <v>114992.29986711338</v>
      </c>
      <c r="D63" s="14">
        <f>IF($D$8=Variables!$B$3,PPMT($D$18,B63,$K$9,-$J$10),IF($D$8=Variables!$B$6,PPMT($D$18,B63,$K$9,-$J$10),IF($D$8=Variables!$B$5,PPMT($D$18,B63-12,$K$9-12,-$C$45),IF(AND($D$8=Variables!$B$4,$D$15="si"),0,PPMT($D$18,B63-18,$K$9-18,-$J$10-SUM($L$34:$L$51))))))+IF(AND($D$8=Variables!$B$4,'Sim Reg N° 800'!$D$15="SI"),PPMT($D$18,B63-24,$K$9-24,-$J$10-SUM($M$34:$M$57)))</f>
        <v>176.14071959091561</v>
      </c>
      <c r="E63" s="14">
        <f>IF($D$8=Variables!$B$3,IPMT($D$18,B63,$K$9,-$J$10),IF($D$8=Variables!$B$6,IPMT($D$18,B63,$K$9,-$J$10),IF($D$8=Variables!$B$5,IPMT($D$18,B63-12,$K$9-12,-$C$45),IF(AND($D$8=Variables!$B$4,$D$15="si"),0,IPMT($D$18,B63-18,$K$9-18,-$J$10-SUM($L$34:$L$51))))))+IF(AND($D$8=Variables!$B$4,'Sim Reg N° 800'!$D$15="SI"),IPMT($D$18,B63-24,$K$9-24,-$J$10-SUM($M$34:$M$57)))</f>
        <v>431.88165220014127</v>
      </c>
      <c r="F63" s="14">
        <f>IF(AND($D$8=Variables!$B$3,$D$12="SI",$D$19="NO",$D$13="SI",B63&gt;=7),(PMT(0.06/12,$K$9,-$C$33)-PMT(0.045/12,$K$9,-$C$33)),IF(AND($D$8=Variables!$B$5,$D$19="NO",$D$12="SI",$D$13="SI",B63&gt;12),(PMT(0.06/12,$K$9,-$C$45)-PMT(0.045/12,$K$9,-$C$45)),IF(AND($D$8=Variables!$B$4,$D$12="SI",$D$19="NO",$D$13="SI",$D$15="NO",B63&gt;18),(PMT(0.06/12,$K$9,-$C$51)-PMT(0.045/12,$K$9,-$C$51)),IF(AND($D$8=Variables!$B$4,$D$12="SI",$D$19="NO",$D$13="SI",$D$15="SI",B63&gt;24),(PMT(0.06/12,$K$9,-$C$57)-PMT(0.045/12,$K$9,-$C$57)),0))))</f>
        <v>111.43825839224587</v>
      </c>
      <c r="G63" s="14">
        <f>+IF($D$8=Variables!$B$6,0.21*IPMT('Sim Reg N° 800'!$D$18,'Sim Reg N° 800'!B63,'Sim Reg N° 800'!$K$9,-'Sim Reg N° 800'!$J$10),0)+F63*0.21</f>
        <v>23.402034262371632</v>
      </c>
      <c r="H63" s="14">
        <f t="shared" si="2"/>
        <v>742.86266444567434</v>
      </c>
      <c r="I63" s="14">
        <f t="shared" si="7"/>
        <v>0</v>
      </c>
      <c r="J63" s="14">
        <f t="shared" si="3"/>
        <v>742.86266444567434</v>
      </c>
      <c r="K63" s="26">
        <f t="shared" si="4"/>
        <v>222.85879933370231</v>
      </c>
      <c r="L63" s="21"/>
      <c r="M63" s="19"/>
      <c r="R63" s="20"/>
    </row>
    <row r="64" spans="1:18" hidden="1" x14ac:dyDescent="0.2">
      <c r="A64" s="7"/>
      <c r="B64" s="42">
        <v>31</v>
      </c>
      <c r="C64" s="14">
        <f t="shared" si="1"/>
        <v>114815.49861982401</v>
      </c>
      <c r="D64" s="14">
        <f>IF($D$8=Variables!$B$3,PPMT($D$18,B64,$K$9,-$J$10),IF($D$8=Variables!$B$6,PPMT($D$18,B64,$K$9,-$J$10),IF($D$8=Variables!$B$5,PPMT($D$18,B64-12,$K$9-12,-$C$45),IF(AND($D$8=Variables!$B$4,$D$15="si"),0,PPMT($D$18,B64-18,$K$9-18,-$J$10-SUM($L$34:$L$51))))))+IF(AND($D$8=Variables!$B$4,'Sim Reg N° 800'!$D$15="SI"),PPMT($D$18,B64-24,$K$9-24,-$J$10-SUM($M$34:$M$57)))</f>
        <v>176.80124728938156</v>
      </c>
      <c r="E64" s="14">
        <f>IF($D$8=Variables!$B$3,IPMT($D$18,B64,$K$9,-$J$10),IF($D$8=Variables!$B$6,IPMT($D$18,B64,$K$9,-$J$10),IF($D$8=Variables!$B$5,IPMT($D$18,B64-12,$K$9-12,-$C$45),IF(AND($D$8=Variables!$B$4,$D$15="si"),0,IPMT($D$18,B64-18,$K$9-18,-$J$10-SUM($L$34:$L$51))))))+IF(AND($D$8=Variables!$B$4,'Sim Reg N° 800'!$D$15="SI"),IPMT($D$18,B64-24,$K$9-24,-$J$10-SUM($M$34:$M$57)))</f>
        <v>431.22112450167532</v>
      </c>
      <c r="F64" s="14">
        <f>IF(AND($D$8=Variables!$B$3,$D$12="SI",$D$19="NO",$D$13="SI",B64&gt;=7),(PMT(0.06/12,$K$9,-$C$33)-PMT(0.045/12,$K$9,-$C$33)),IF(AND($D$8=Variables!$B$5,$D$19="NO",$D$12="SI",$D$13="SI",B64&gt;12),(PMT(0.06/12,$K$9,-$C$45)-PMT(0.045/12,$K$9,-$C$45)),IF(AND($D$8=Variables!$B$4,$D$12="SI",$D$19="NO",$D$13="SI",$D$15="NO",B64&gt;18),(PMT(0.06/12,$K$9,-$C$51)-PMT(0.045/12,$K$9,-$C$51)),IF(AND($D$8=Variables!$B$4,$D$12="SI",$D$19="NO",$D$13="SI",$D$15="SI",B64&gt;24),(PMT(0.06/12,$K$9,-$C$57)-PMT(0.045/12,$K$9,-$C$57)),0))))</f>
        <v>111.43825839224587</v>
      </c>
      <c r="G64" s="14">
        <f>+IF($D$8=Variables!$B$6,0.21*IPMT('Sim Reg N° 800'!$D$18,'Sim Reg N° 800'!B64,'Sim Reg N° 800'!$K$9,-'Sim Reg N° 800'!$J$10),0)+F64*0.21</f>
        <v>23.402034262371632</v>
      </c>
      <c r="H64" s="14">
        <f t="shared" si="2"/>
        <v>742.86266444567434</v>
      </c>
      <c r="I64" s="14">
        <f t="shared" si="7"/>
        <v>0</v>
      </c>
      <c r="J64" s="14">
        <f t="shared" si="3"/>
        <v>742.86266444567434</v>
      </c>
      <c r="K64" s="26">
        <f t="shared" si="4"/>
        <v>222.85879933370231</v>
      </c>
      <c r="L64" s="21"/>
      <c r="M64" s="19"/>
      <c r="R64" s="20"/>
    </row>
    <row r="65" spans="1:18" hidden="1" x14ac:dyDescent="0.2">
      <c r="A65" s="7"/>
      <c r="B65" s="42">
        <v>32</v>
      </c>
      <c r="C65" s="14">
        <f t="shared" si="1"/>
        <v>114638.0343678573</v>
      </c>
      <c r="D65" s="14">
        <f>IF($D$8=Variables!$B$3,PPMT($D$18,B65,$K$9,-$J$10),IF($D$8=Variables!$B$6,PPMT($D$18,B65,$K$9,-$J$10),IF($D$8=Variables!$B$5,PPMT($D$18,B65-12,$K$9-12,-$C$45),IF(AND($D$8=Variables!$B$4,$D$15="si"),0,PPMT($D$18,B65-18,$K$9-18,-$J$10-SUM($L$34:$L$51))))))+IF(AND($D$8=Variables!$B$4,'Sim Reg N° 800'!$D$15="SI"),PPMT($D$18,B65-24,$K$9-24,-$J$10-SUM($M$34:$M$57)))</f>
        <v>177.46425196671672</v>
      </c>
      <c r="E65" s="14">
        <f>IF($D$8=Variables!$B$3,IPMT($D$18,B65,$K$9,-$J$10),IF($D$8=Variables!$B$6,IPMT($D$18,B65,$K$9,-$J$10),IF($D$8=Variables!$B$5,IPMT($D$18,B65-12,$K$9-12,-$C$45),IF(AND($D$8=Variables!$B$4,$D$15="si"),0,IPMT($D$18,B65-18,$K$9-18,-$J$10-SUM($L$34:$L$51))))))+IF(AND($D$8=Variables!$B$4,'Sim Reg N° 800'!$D$15="SI"),IPMT($D$18,B65-24,$K$9-24,-$J$10-SUM($M$34:$M$57)))</f>
        <v>430.55811982434005</v>
      </c>
      <c r="F65" s="14">
        <f>IF(AND($D$8=Variables!$B$3,$D$12="SI",$D$19="NO",$D$13="SI",B65&gt;=7),(PMT(0.06/12,$K$9,-$C$33)-PMT(0.045/12,$K$9,-$C$33)),IF(AND($D$8=Variables!$B$5,$D$19="NO",$D$12="SI",$D$13="SI",B65&gt;12),(PMT(0.06/12,$K$9,-$C$45)-PMT(0.045/12,$K$9,-$C$45)),IF(AND($D$8=Variables!$B$4,$D$12="SI",$D$19="NO",$D$13="SI",$D$15="NO",B65&gt;18),(PMT(0.06/12,$K$9,-$C$51)-PMT(0.045/12,$K$9,-$C$51)),IF(AND($D$8=Variables!$B$4,$D$12="SI",$D$19="NO",$D$13="SI",$D$15="SI",B65&gt;24),(PMT(0.06/12,$K$9,-$C$57)-PMT(0.045/12,$K$9,-$C$57)),0))))</f>
        <v>111.43825839224587</v>
      </c>
      <c r="G65" s="14">
        <f>+IF($D$8=Variables!$B$6,0.21*IPMT('Sim Reg N° 800'!$D$18,'Sim Reg N° 800'!B65,'Sim Reg N° 800'!$K$9,-'Sim Reg N° 800'!$J$10),0)+F65*0.21</f>
        <v>23.402034262371632</v>
      </c>
      <c r="H65" s="14">
        <f t="shared" si="2"/>
        <v>742.86266444567423</v>
      </c>
      <c r="I65" s="14">
        <f t="shared" si="7"/>
        <v>0</v>
      </c>
      <c r="J65" s="14">
        <f t="shared" si="3"/>
        <v>742.86266444567423</v>
      </c>
      <c r="K65" s="26">
        <f t="shared" si="4"/>
        <v>222.85879933370225</v>
      </c>
      <c r="L65" s="21"/>
      <c r="M65" s="19"/>
      <c r="R65" s="20"/>
    </row>
    <row r="66" spans="1:18" hidden="1" x14ac:dyDescent="0.2">
      <c r="A66" s="7"/>
      <c r="B66" s="42">
        <v>33</v>
      </c>
      <c r="C66" s="14">
        <f t="shared" si="1"/>
        <v>114459.9046249457</v>
      </c>
      <c r="D66" s="14">
        <f>IF($D$8=Variables!$B$3,PPMT($D$18,B66,$K$9,-$J$10),IF($D$8=Variables!$B$6,PPMT($D$18,B66,$K$9,-$J$10),IF($D$8=Variables!$B$5,PPMT($D$18,B66-12,$K$9-12,-$C$45),IF(AND($D$8=Variables!$B$4,$D$15="si"),0,PPMT($D$18,B66-18,$K$9-18,-$J$10-SUM($L$34:$L$51))))))+IF(AND($D$8=Variables!$B$4,'Sim Reg N° 800'!$D$15="SI"),PPMT($D$18,B66-24,$K$9-24,-$J$10-SUM($M$34:$M$57)))</f>
        <v>178.1297429115919</v>
      </c>
      <c r="E66" s="14">
        <f>IF($D$8=Variables!$B$3,IPMT($D$18,B66,$K$9,-$J$10),IF($D$8=Variables!$B$6,IPMT($D$18,B66,$K$9,-$J$10),IF($D$8=Variables!$B$5,IPMT($D$18,B66-12,$K$9-12,-$C$45),IF(AND($D$8=Variables!$B$4,$D$15="si"),0,IPMT($D$18,B66-18,$K$9-18,-$J$10-SUM($L$34:$L$51))))))+IF(AND($D$8=Variables!$B$4,'Sim Reg N° 800'!$D$15="SI"),IPMT($D$18,B66-24,$K$9-24,-$J$10-SUM($M$34:$M$57)))</f>
        <v>429.89262887946495</v>
      </c>
      <c r="F66" s="14">
        <f>IF(AND($D$8=Variables!$B$3,$D$12="SI",$D$19="NO",$D$13="SI",B66&gt;=7),(PMT(0.06/12,$K$9,-$C$33)-PMT(0.045/12,$K$9,-$C$33)),IF(AND($D$8=Variables!$B$5,$D$19="NO",$D$12="SI",$D$13="SI",B66&gt;12),(PMT(0.06/12,$K$9,-$C$45)-PMT(0.045/12,$K$9,-$C$45)),IF(AND($D$8=Variables!$B$4,$D$12="SI",$D$19="NO",$D$13="SI",$D$15="NO",B66&gt;18),(PMT(0.06/12,$K$9,-$C$51)-PMT(0.045/12,$K$9,-$C$51)),IF(AND($D$8=Variables!$B$4,$D$12="SI",$D$19="NO",$D$13="SI",$D$15="SI",B66&gt;24),(PMT(0.06/12,$K$9,-$C$57)-PMT(0.045/12,$K$9,-$C$57)),0))))</f>
        <v>111.43825839224587</v>
      </c>
      <c r="G66" s="14">
        <f>+IF($D$8=Variables!$B$6,0.21*IPMT('Sim Reg N° 800'!$D$18,'Sim Reg N° 800'!B66,'Sim Reg N° 800'!$K$9,-'Sim Reg N° 800'!$J$10),0)+F66*0.21</f>
        <v>23.402034262371632</v>
      </c>
      <c r="H66" s="14">
        <f t="shared" si="2"/>
        <v>742.86266444567434</v>
      </c>
      <c r="I66" s="14">
        <f t="shared" si="7"/>
        <v>0</v>
      </c>
      <c r="J66" s="14">
        <f t="shared" si="3"/>
        <v>742.86266444567434</v>
      </c>
      <c r="K66" s="26">
        <f t="shared" si="4"/>
        <v>222.85879933370231</v>
      </c>
      <c r="L66" s="21"/>
      <c r="M66" s="19"/>
      <c r="R66" s="20"/>
    </row>
    <row r="67" spans="1:18" hidden="1" x14ac:dyDescent="0.2">
      <c r="A67" s="7"/>
      <c r="B67" s="42">
        <v>34</v>
      </c>
      <c r="C67" s="14">
        <f t="shared" si="1"/>
        <v>114281.10689549819</v>
      </c>
      <c r="D67" s="14">
        <f>IF($D$8=Variables!$B$3,PPMT($D$18,B67,$K$9,-$J$10),IF($D$8=Variables!$B$6,PPMT($D$18,B67,$K$9,-$J$10),IF($D$8=Variables!$B$5,PPMT($D$18,B67-12,$K$9-12,-$C$45),IF(AND($D$8=Variables!$B$4,$D$15="si"),0,PPMT($D$18,B67-18,$K$9-18,-$J$10-SUM($L$34:$L$51))))))+IF(AND($D$8=Variables!$B$4,'Sim Reg N° 800'!$D$15="SI"),PPMT($D$18,B67-24,$K$9-24,-$J$10-SUM($M$34:$M$57)))</f>
        <v>178.79772944751039</v>
      </c>
      <c r="E67" s="14">
        <f>IF($D$8=Variables!$B$3,IPMT($D$18,B67,$K$9,-$J$10),IF($D$8=Variables!$B$6,IPMT($D$18,B67,$K$9,-$J$10),IF($D$8=Variables!$B$5,IPMT($D$18,B67-12,$K$9-12,-$C$45),IF(AND($D$8=Variables!$B$4,$D$15="si"),0,IPMT($D$18,B67-18,$K$9-18,-$J$10-SUM($L$34:$L$51))))))+IF(AND($D$8=Variables!$B$4,'Sim Reg N° 800'!$D$15="SI"),IPMT($D$18,B67-24,$K$9-24,-$J$10-SUM($M$34:$M$57)))</f>
        <v>429.22464234354646</v>
      </c>
      <c r="F67" s="14">
        <f>IF(AND($D$8=Variables!$B$3,$D$12="SI",$D$19="NO",$D$13="SI",B67&gt;=7),(PMT(0.06/12,$K$9,-$C$33)-PMT(0.045/12,$K$9,-$C$33)),IF(AND($D$8=Variables!$B$5,$D$19="NO",$D$12="SI",$D$13="SI",B67&gt;12),(PMT(0.06/12,$K$9,-$C$45)-PMT(0.045/12,$K$9,-$C$45)),IF(AND($D$8=Variables!$B$4,$D$12="SI",$D$19="NO",$D$13="SI",$D$15="NO",B67&gt;18),(PMT(0.06/12,$K$9,-$C$51)-PMT(0.045/12,$K$9,-$C$51)),IF(AND($D$8=Variables!$B$4,$D$12="SI",$D$19="NO",$D$13="SI",$D$15="SI",B67&gt;24),(PMT(0.06/12,$K$9,-$C$57)-PMT(0.045/12,$K$9,-$C$57)),0))))</f>
        <v>111.43825839224587</v>
      </c>
      <c r="G67" s="14">
        <f>+IF($D$8=Variables!$B$6,0.21*IPMT('Sim Reg N° 800'!$D$18,'Sim Reg N° 800'!B67,'Sim Reg N° 800'!$K$9,-'Sim Reg N° 800'!$J$10),0)+F67*0.21</f>
        <v>23.402034262371632</v>
      </c>
      <c r="H67" s="14">
        <f t="shared" si="2"/>
        <v>742.86266444567434</v>
      </c>
      <c r="I67" s="14">
        <f t="shared" si="7"/>
        <v>0</v>
      </c>
      <c r="J67" s="14">
        <f t="shared" si="3"/>
        <v>742.86266444567434</v>
      </c>
      <c r="K67" s="26">
        <f t="shared" si="4"/>
        <v>222.85879933370231</v>
      </c>
      <c r="L67" s="21"/>
      <c r="M67" s="19"/>
      <c r="R67" s="20"/>
    </row>
    <row r="68" spans="1:18" hidden="1" x14ac:dyDescent="0.2">
      <c r="A68" s="7"/>
      <c r="B68" s="42">
        <v>35</v>
      </c>
      <c r="C68" s="14">
        <f t="shared" si="1"/>
        <v>114101.63867456526</v>
      </c>
      <c r="D68" s="14">
        <f>IF($D$8=Variables!$B$3,PPMT($D$18,B68,$K$9,-$J$10),IF($D$8=Variables!$B$6,PPMT($D$18,B68,$K$9,-$J$10),IF($D$8=Variables!$B$5,PPMT($D$18,B68-12,$K$9-12,-$C$45),IF(AND($D$8=Variables!$B$4,$D$15="si"),0,PPMT($D$18,B68-18,$K$9-18,-$J$10-SUM($L$34:$L$51))))))+IF(AND($D$8=Variables!$B$4,'Sim Reg N° 800'!$D$15="SI"),PPMT($D$18,B68-24,$K$9-24,-$J$10-SUM($M$34:$M$57)))</f>
        <v>179.46822093293855</v>
      </c>
      <c r="E68" s="14">
        <f>IF($D$8=Variables!$B$3,IPMT($D$18,B68,$K$9,-$J$10),IF($D$8=Variables!$B$6,IPMT($D$18,B68,$K$9,-$J$10),IF($D$8=Variables!$B$5,IPMT($D$18,B68-12,$K$9-12,-$C$45),IF(AND($D$8=Variables!$B$4,$D$15="si"),0,IPMT($D$18,B68-18,$K$9-18,-$J$10-SUM($L$34:$L$51))))))+IF(AND($D$8=Variables!$B$4,'Sim Reg N° 800'!$D$15="SI"),IPMT($D$18,B68-24,$K$9-24,-$J$10-SUM($M$34:$M$57)))</f>
        <v>428.55415085811831</v>
      </c>
      <c r="F68" s="14">
        <f>IF(AND($D$8=Variables!$B$3,$D$12="SI",$D$19="NO",$D$13="SI",B68&gt;=7),(PMT(0.06/12,$K$9,-$C$33)-PMT(0.045/12,$K$9,-$C$33)),IF(AND($D$8=Variables!$B$5,$D$19="NO",$D$12="SI",$D$13="SI",B68&gt;12),(PMT(0.06/12,$K$9,-$C$45)-PMT(0.045/12,$K$9,-$C$45)),IF(AND($D$8=Variables!$B$4,$D$12="SI",$D$19="NO",$D$13="SI",$D$15="NO",B68&gt;18),(PMT(0.06/12,$K$9,-$C$51)-PMT(0.045/12,$K$9,-$C$51)),IF(AND($D$8=Variables!$B$4,$D$12="SI",$D$19="NO",$D$13="SI",$D$15="SI",B68&gt;24),(PMT(0.06/12,$K$9,-$C$57)-PMT(0.045/12,$K$9,-$C$57)),0))))</f>
        <v>111.43825839224587</v>
      </c>
      <c r="G68" s="14">
        <f>+IF($D$8=Variables!$B$6,0.21*IPMT('Sim Reg N° 800'!$D$18,'Sim Reg N° 800'!B68,'Sim Reg N° 800'!$K$9,-'Sim Reg N° 800'!$J$10),0)+F68*0.21</f>
        <v>23.402034262371632</v>
      </c>
      <c r="H68" s="14">
        <f t="shared" si="2"/>
        <v>742.86266444567434</v>
      </c>
      <c r="I68" s="14">
        <f t="shared" si="7"/>
        <v>0</v>
      </c>
      <c r="J68" s="14">
        <f t="shared" si="3"/>
        <v>742.86266444567434</v>
      </c>
      <c r="K68" s="26">
        <f t="shared" si="4"/>
        <v>222.85879933370231</v>
      </c>
      <c r="L68" s="21"/>
      <c r="M68" s="19"/>
      <c r="R68" s="20"/>
    </row>
    <row r="69" spans="1:18" hidden="1" x14ac:dyDescent="0.2">
      <c r="A69" s="7"/>
      <c r="B69" s="42">
        <v>36</v>
      </c>
      <c r="C69" s="14">
        <f t="shared" si="1"/>
        <v>113921.49744780382</v>
      </c>
      <c r="D69" s="14">
        <f>IF($D$8=Variables!$B$3,PPMT($D$18,B69,$K$9,-$J$10),IF($D$8=Variables!$B$6,PPMT($D$18,B69,$K$9,-$J$10),IF($D$8=Variables!$B$5,PPMT($D$18,B69-12,$K$9-12,-$C$45),IF(AND($D$8=Variables!$B$4,$D$15="si"),0,PPMT($D$18,B69-18,$K$9-18,-$J$10-SUM($L$34:$L$51))))))+IF(AND($D$8=Variables!$B$4,'Sim Reg N° 800'!$D$15="SI"),PPMT($D$18,B69-24,$K$9-24,-$J$10-SUM($M$34:$M$57)))</f>
        <v>180.14122676143705</v>
      </c>
      <c r="E69" s="14">
        <f>IF($D$8=Variables!$B$3,IPMT($D$18,B69,$K$9,-$J$10),IF($D$8=Variables!$B$6,IPMT($D$18,B69,$K$9,-$J$10),IF($D$8=Variables!$B$5,IPMT($D$18,B69-12,$K$9-12,-$C$45),IF(AND($D$8=Variables!$B$4,$D$15="si"),0,IPMT($D$18,B69-18,$K$9-18,-$J$10-SUM($L$34:$L$51))))))+IF(AND($D$8=Variables!$B$4,'Sim Reg N° 800'!$D$15="SI"),IPMT($D$18,B69-24,$K$9-24,-$J$10-SUM($M$34:$M$57)))</f>
        <v>427.8811450296198</v>
      </c>
      <c r="F69" s="14">
        <f>IF(AND($D$8=Variables!$B$3,$D$12="SI",$D$19="NO",$D$13="SI",B69&gt;=7),(PMT(0.06/12,$K$9,-$C$33)-PMT(0.045/12,$K$9,-$C$33)),IF(AND($D$8=Variables!$B$5,$D$19="NO",$D$12="SI",$D$13="SI",B69&gt;12),(PMT(0.06/12,$K$9,-$C$45)-PMT(0.045/12,$K$9,-$C$45)),IF(AND($D$8=Variables!$B$4,$D$12="SI",$D$19="NO",$D$13="SI",$D$15="NO",B69&gt;18),(PMT(0.06/12,$K$9,-$C$51)-PMT(0.045/12,$K$9,-$C$51)),IF(AND($D$8=Variables!$B$4,$D$12="SI",$D$19="NO",$D$13="SI",$D$15="SI",B69&gt;24),(PMT(0.06/12,$K$9,-$C$57)-PMT(0.045/12,$K$9,-$C$57)),0))))</f>
        <v>111.43825839224587</v>
      </c>
      <c r="G69" s="14">
        <f>+IF($D$8=Variables!$B$6,0.21*IPMT('Sim Reg N° 800'!$D$18,'Sim Reg N° 800'!B69,'Sim Reg N° 800'!$K$9,-'Sim Reg N° 800'!$J$10),0)+F69*0.21</f>
        <v>23.402034262371632</v>
      </c>
      <c r="H69" s="14">
        <f t="shared" si="2"/>
        <v>742.86266444567434</v>
      </c>
      <c r="I69" s="14">
        <f t="shared" si="7"/>
        <v>0</v>
      </c>
      <c r="J69" s="14">
        <f t="shared" si="3"/>
        <v>742.86266444567434</v>
      </c>
      <c r="K69" s="26">
        <f t="shared" si="4"/>
        <v>222.85879933370231</v>
      </c>
      <c r="L69" s="21"/>
      <c r="M69" s="19"/>
      <c r="R69" s="20"/>
    </row>
    <row r="70" spans="1:18" hidden="1" x14ac:dyDescent="0.2">
      <c r="A70" s="7"/>
      <c r="B70" s="42">
        <v>37</v>
      </c>
      <c r="C70" s="14">
        <f t="shared" si="1"/>
        <v>113740.68069144203</v>
      </c>
      <c r="D70" s="14">
        <f>IF($D$8=Variables!$B$3,PPMT($D$18,B70,$K$9,-$J$10),IF($D$8=Variables!$B$6,PPMT($D$18,B70,$K$9,-$J$10),IF($D$8=Variables!$B$5,PPMT($D$18,B70-12,$K$9-12,-$C$45),IF(AND($D$8=Variables!$B$4,$D$15="si"),0,PPMT($D$18,B70-18,$K$9-18,-$J$10-SUM($L$34:$L$51))))))+IF(AND($D$8=Variables!$B$4,'Sim Reg N° 800'!$D$15="SI"),PPMT($D$18,B70-24,$K$9-24,-$J$10-SUM($M$34:$M$57)))</f>
        <v>180.81675636179247</v>
      </c>
      <c r="E70" s="14">
        <f>IF($D$8=Variables!$B$3,IPMT($D$18,B70,$K$9,-$J$10),IF($D$8=Variables!$B$6,IPMT($D$18,B70,$K$9,-$J$10),IF($D$8=Variables!$B$5,IPMT($D$18,B70-12,$K$9-12,-$C$45),IF(AND($D$8=Variables!$B$4,$D$15="si"),0,IPMT($D$18,B70-18,$K$9-18,-$J$10-SUM($L$34:$L$51))))))+IF(AND($D$8=Variables!$B$4,'Sim Reg N° 800'!$D$15="SI"),IPMT($D$18,B70-24,$K$9-24,-$J$10-SUM($M$34:$M$57)))</f>
        <v>427.2056154292643</v>
      </c>
      <c r="F70" s="14">
        <f>IF(AND($D$8=Variables!$B$3,$D$12="SI",$D$19="NO",$D$13="SI",B70&gt;=7),(PMT(0.06/12,$K$9,-$C$33)-PMT(0.045/12,$K$9,-$C$33)),IF(AND($D$8=Variables!$B$5,$D$19="NO",$D$12="SI",$D$13="SI",B70&gt;12),(PMT(0.06/12,$K$9,-$C$45)-PMT(0.045/12,$K$9,-$C$45)),IF(AND($D$8=Variables!$B$4,$D$12="SI",$D$19="NO",$D$13="SI",$D$15="NO",B70&gt;18),(PMT(0.06/12,$K$9,-$C$51)-PMT(0.045/12,$K$9,-$C$51)),IF(AND($D$8=Variables!$B$4,$D$12="SI",$D$19="NO",$D$13="SI",$D$15="SI",B70&gt;24),(PMT(0.06/12,$K$9,-$C$57)-PMT(0.045/12,$K$9,-$C$57)),0))))</f>
        <v>111.43825839224587</v>
      </c>
      <c r="G70" s="14">
        <f>+IF($D$8=Variables!$B$6,0.21*IPMT('Sim Reg N° 800'!$D$18,'Sim Reg N° 800'!B70,'Sim Reg N° 800'!$K$9,-'Sim Reg N° 800'!$J$10),0)+F70*0.21</f>
        <v>23.402034262371632</v>
      </c>
      <c r="H70" s="14">
        <f t="shared" si="2"/>
        <v>742.86266444567423</v>
      </c>
      <c r="I70" s="14">
        <f t="shared" si="7"/>
        <v>95.999999999999986</v>
      </c>
      <c r="J70" s="14">
        <f t="shared" si="3"/>
        <v>838.86266444567423</v>
      </c>
      <c r="K70" s="26">
        <f t="shared" si="4"/>
        <v>251.65879933370226</v>
      </c>
      <c r="L70" s="21"/>
      <c r="M70" s="19"/>
      <c r="R70" s="20"/>
    </row>
    <row r="71" spans="1:18" hidden="1" x14ac:dyDescent="0.2">
      <c r="A71" s="7"/>
      <c r="B71" s="42">
        <v>38</v>
      </c>
      <c r="C71" s="14">
        <f t="shared" si="1"/>
        <v>113559.18587224388</v>
      </c>
      <c r="D71" s="14">
        <f>IF($D$8=Variables!$B$3,PPMT($D$18,B71,$K$9,-$J$10),IF($D$8=Variables!$B$6,PPMT($D$18,B71,$K$9,-$J$10),IF($D$8=Variables!$B$5,PPMT($D$18,B71-12,$K$9-12,-$C$45),IF(AND($D$8=Variables!$B$4,$D$15="si"),0,PPMT($D$18,B71-18,$K$9-18,-$J$10-SUM($L$34:$L$51))))))+IF(AND($D$8=Variables!$B$4,'Sim Reg N° 800'!$D$15="SI"),PPMT($D$18,B71-24,$K$9-24,-$J$10-SUM($M$34:$M$57)))</f>
        <v>181.49481919814917</v>
      </c>
      <c r="E71" s="14">
        <f>IF($D$8=Variables!$B$3,IPMT($D$18,B71,$K$9,-$J$10),IF($D$8=Variables!$B$6,IPMT($D$18,B71,$K$9,-$J$10),IF($D$8=Variables!$B$5,IPMT($D$18,B71-12,$K$9-12,-$C$45),IF(AND($D$8=Variables!$B$4,$D$15="si"),0,IPMT($D$18,B71-18,$K$9-18,-$J$10-SUM($L$34:$L$51))))))+IF(AND($D$8=Variables!$B$4,'Sim Reg N° 800'!$D$15="SI"),IPMT($D$18,B71-24,$K$9-24,-$J$10-SUM($M$34:$M$57)))</f>
        <v>426.52755259290763</v>
      </c>
      <c r="F71" s="14">
        <f>IF(AND($D$8=Variables!$B$3,$D$12="SI",$D$19="NO",$D$13="SI",B71&gt;=7),(PMT(0.06/12,$K$9,-$C$33)-PMT(0.045/12,$K$9,-$C$33)),IF(AND($D$8=Variables!$B$5,$D$19="NO",$D$12="SI",$D$13="SI",B71&gt;12),(PMT(0.06/12,$K$9,-$C$45)-PMT(0.045/12,$K$9,-$C$45)),IF(AND($D$8=Variables!$B$4,$D$12="SI",$D$19="NO",$D$13="SI",$D$15="NO",B71&gt;18),(PMT(0.06/12,$K$9,-$C$51)-PMT(0.045/12,$K$9,-$C$51)),IF(AND($D$8=Variables!$B$4,$D$12="SI",$D$19="NO",$D$13="SI",$D$15="SI",B71&gt;24),(PMT(0.06/12,$K$9,-$C$57)-PMT(0.045/12,$K$9,-$C$57)),0))))</f>
        <v>111.43825839224587</v>
      </c>
      <c r="G71" s="14">
        <f>+IF($D$8=Variables!$B$6,0.21*IPMT('Sim Reg N° 800'!$D$18,'Sim Reg N° 800'!B71,'Sim Reg N° 800'!$K$9,-'Sim Reg N° 800'!$J$10),0)+F71*0.21</f>
        <v>23.402034262371632</v>
      </c>
      <c r="H71" s="14">
        <f t="shared" si="2"/>
        <v>742.86266444567423</v>
      </c>
      <c r="I71" s="14">
        <f t="shared" si="7"/>
        <v>0</v>
      </c>
      <c r="J71" s="14">
        <f t="shared" si="3"/>
        <v>742.86266444567423</v>
      </c>
      <c r="K71" s="26">
        <f t="shared" si="4"/>
        <v>222.85879933370225</v>
      </c>
      <c r="L71" s="21"/>
      <c r="M71" s="19"/>
      <c r="R71" s="20"/>
    </row>
    <row r="72" spans="1:18" hidden="1" x14ac:dyDescent="0.2">
      <c r="A72" s="7"/>
      <c r="B72" s="42">
        <v>39</v>
      </c>
      <c r="C72" s="14">
        <f t="shared" si="1"/>
        <v>113377.01044747373</v>
      </c>
      <c r="D72" s="14">
        <f>IF($D$8=Variables!$B$3,PPMT($D$18,B72,$K$9,-$J$10),IF($D$8=Variables!$B$6,PPMT($D$18,B72,$K$9,-$J$10),IF($D$8=Variables!$B$5,PPMT($D$18,B72-12,$K$9-12,-$C$45),IF(AND($D$8=Variables!$B$4,$D$15="si"),0,PPMT($D$18,B72-18,$K$9-18,-$J$10-SUM($L$34:$L$51))))))+IF(AND($D$8=Variables!$B$4,'Sim Reg N° 800'!$D$15="SI"),PPMT($D$18,B72-24,$K$9-24,-$J$10-SUM($M$34:$M$57)))</f>
        <v>182.17542477014226</v>
      </c>
      <c r="E72" s="14">
        <f>IF($D$8=Variables!$B$3,IPMT($D$18,B72,$K$9,-$J$10),IF($D$8=Variables!$B$6,IPMT($D$18,B72,$K$9,-$J$10),IF($D$8=Variables!$B$5,IPMT($D$18,B72-12,$K$9-12,-$C$45),IF(AND($D$8=Variables!$B$4,$D$15="si"),0,IPMT($D$18,B72-18,$K$9-18,-$J$10-SUM($L$34:$L$51))))))+IF(AND($D$8=Variables!$B$4,'Sim Reg N° 800'!$D$15="SI"),IPMT($D$18,B72-24,$K$9-24,-$J$10-SUM($M$34:$M$57)))</f>
        <v>425.84694702091457</v>
      </c>
      <c r="F72" s="14">
        <f>IF(AND($D$8=Variables!$B$3,$D$12="SI",$D$19="NO",$D$13="SI",B72&gt;=7),(PMT(0.06/12,$K$9,-$C$33)-PMT(0.045/12,$K$9,-$C$33)),IF(AND($D$8=Variables!$B$5,$D$19="NO",$D$12="SI",$D$13="SI",B72&gt;12),(PMT(0.06/12,$K$9,-$C$45)-PMT(0.045/12,$K$9,-$C$45)),IF(AND($D$8=Variables!$B$4,$D$12="SI",$D$19="NO",$D$13="SI",$D$15="NO",B72&gt;18),(PMT(0.06/12,$K$9,-$C$51)-PMT(0.045/12,$K$9,-$C$51)),IF(AND($D$8=Variables!$B$4,$D$12="SI",$D$19="NO",$D$13="SI",$D$15="SI",B72&gt;24),(PMT(0.06/12,$K$9,-$C$57)-PMT(0.045/12,$K$9,-$C$57)),0))))</f>
        <v>111.43825839224587</v>
      </c>
      <c r="G72" s="14">
        <f>+IF($D$8=Variables!$B$6,0.21*IPMT('Sim Reg N° 800'!$D$18,'Sim Reg N° 800'!B72,'Sim Reg N° 800'!$K$9,-'Sim Reg N° 800'!$J$10),0)+F72*0.21</f>
        <v>23.402034262371632</v>
      </c>
      <c r="H72" s="14">
        <f t="shared" si="2"/>
        <v>742.86266444567434</v>
      </c>
      <c r="I72" s="14">
        <f t="shared" si="7"/>
        <v>0</v>
      </c>
      <c r="J72" s="14">
        <f t="shared" si="3"/>
        <v>742.86266444567434</v>
      </c>
      <c r="K72" s="26">
        <f t="shared" si="4"/>
        <v>222.85879933370231</v>
      </c>
      <c r="L72" s="21"/>
      <c r="M72" s="19"/>
      <c r="R72" s="20"/>
    </row>
    <row r="73" spans="1:18" hidden="1" x14ac:dyDescent="0.2">
      <c r="A73" s="7"/>
      <c r="B73" s="42">
        <v>40</v>
      </c>
      <c r="C73" s="14">
        <f t="shared" si="1"/>
        <v>113194.1518648607</v>
      </c>
      <c r="D73" s="14">
        <f>IF($D$8=Variables!$B$3,PPMT($D$18,B73,$K$9,-$J$10),IF($D$8=Variables!$B$6,PPMT($D$18,B73,$K$9,-$J$10),IF($D$8=Variables!$B$5,PPMT($D$18,B73-12,$K$9-12,-$C$45),IF(AND($D$8=Variables!$B$4,$D$15="si"),0,PPMT($D$18,B73-18,$K$9-18,-$J$10-SUM($L$34:$L$51))))))+IF(AND($D$8=Variables!$B$4,'Sim Reg N° 800'!$D$15="SI"),PPMT($D$18,B73-24,$K$9-24,-$J$10-SUM($M$34:$M$57)))</f>
        <v>182.85858261303028</v>
      </c>
      <c r="E73" s="14">
        <f>IF($D$8=Variables!$B$3,IPMT($D$18,B73,$K$9,-$J$10),IF($D$8=Variables!$B$6,IPMT($D$18,B73,$K$9,-$J$10),IF($D$8=Variables!$B$5,IPMT($D$18,B73-12,$K$9-12,-$C$45),IF(AND($D$8=Variables!$B$4,$D$15="si"),0,IPMT($D$18,B73-18,$K$9-18,-$J$10-SUM($L$34:$L$51))))))+IF(AND($D$8=Variables!$B$4,'Sim Reg N° 800'!$D$15="SI"),IPMT($D$18,B73-24,$K$9-24,-$J$10-SUM($M$34:$M$57)))</f>
        <v>425.1637891780266</v>
      </c>
      <c r="F73" s="14">
        <f>IF(AND($D$8=Variables!$B$3,$D$12="SI",$D$19="NO",$D$13="SI",B73&gt;=7),(PMT(0.06/12,$K$9,-$C$33)-PMT(0.045/12,$K$9,-$C$33)),IF(AND($D$8=Variables!$B$5,$D$19="NO",$D$12="SI",$D$13="SI",B73&gt;12),(PMT(0.06/12,$K$9,-$C$45)-PMT(0.045/12,$K$9,-$C$45)),IF(AND($D$8=Variables!$B$4,$D$12="SI",$D$19="NO",$D$13="SI",$D$15="NO",B73&gt;18),(PMT(0.06/12,$K$9,-$C$51)-PMT(0.045/12,$K$9,-$C$51)),IF(AND($D$8=Variables!$B$4,$D$12="SI",$D$19="NO",$D$13="SI",$D$15="SI",B73&gt;24),(PMT(0.06/12,$K$9,-$C$57)-PMT(0.045/12,$K$9,-$C$57)),0))))</f>
        <v>111.43825839224587</v>
      </c>
      <c r="G73" s="14">
        <f>+IF($D$8=Variables!$B$6,0.21*IPMT('Sim Reg N° 800'!$D$18,'Sim Reg N° 800'!B73,'Sim Reg N° 800'!$K$9,-'Sim Reg N° 800'!$J$10),0)+F73*0.21</f>
        <v>23.402034262371632</v>
      </c>
      <c r="H73" s="14">
        <f t="shared" si="2"/>
        <v>742.86266444567434</v>
      </c>
      <c r="I73" s="14">
        <f t="shared" si="7"/>
        <v>0</v>
      </c>
      <c r="J73" s="14">
        <f t="shared" si="3"/>
        <v>742.86266444567434</v>
      </c>
      <c r="K73" s="26">
        <f t="shared" si="4"/>
        <v>222.85879933370231</v>
      </c>
      <c r="L73" s="21"/>
      <c r="M73" s="19"/>
      <c r="R73" s="20"/>
    </row>
    <row r="74" spans="1:18" hidden="1" x14ac:dyDescent="0.2">
      <c r="A74" s="7"/>
      <c r="B74" s="42">
        <v>41</v>
      </c>
      <c r="C74" s="14">
        <f t="shared" si="1"/>
        <v>113010.60756256287</v>
      </c>
      <c r="D74" s="14">
        <f>IF($D$8=Variables!$B$3,PPMT($D$18,B74,$K$9,-$J$10),IF($D$8=Variables!$B$6,PPMT($D$18,B74,$K$9,-$J$10),IF($D$8=Variables!$B$5,PPMT($D$18,B74-12,$K$9-12,-$C$45),IF(AND($D$8=Variables!$B$4,$D$15="si"),0,PPMT($D$18,B74-18,$K$9-18,-$J$10-SUM($L$34:$L$51))))))+IF(AND($D$8=Variables!$B$4,'Sim Reg N° 800'!$D$15="SI"),PPMT($D$18,B74-24,$K$9-24,-$J$10-SUM($M$34:$M$57)))</f>
        <v>183.54430229782915</v>
      </c>
      <c r="E74" s="14">
        <f>IF($D$8=Variables!$B$3,IPMT($D$18,B74,$K$9,-$J$10),IF($D$8=Variables!$B$6,IPMT($D$18,B74,$K$9,-$J$10),IF($D$8=Variables!$B$5,IPMT($D$18,B74-12,$K$9-12,-$C$45),IF(AND($D$8=Variables!$B$4,$D$15="si"),0,IPMT($D$18,B74-18,$K$9-18,-$J$10-SUM($L$34:$L$51))))))+IF(AND($D$8=Variables!$B$4,'Sim Reg N° 800'!$D$15="SI"),IPMT($D$18,B74-24,$K$9-24,-$J$10-SUM($M$34:$M$57)))</f>
        <v>424.47806949322774</v>
      </c>
      <c r="F74" s="14">
        <f>IF(AND($D$8=Variables!$B$3,$D$12="SI",$D$19="NO",$D$13="SI",B74&gt;=7),(PMT(0.06/12,$K$9,-$C$33)-PMT(0.045/12,$K$9,-$C$33)),IF(AND($D$8=Variables!$B$5,$D$19="NO",$D$12="SI",$D$13="SI",B74&gt;12),(PMT(0.06/12,$K$9,-$C$45)-PMT(0.045/12,$K$9,-$C$45)),IF(AND($D$8=Variables!$B$4,$D$12="SI",$D$19="NO",$D$13="SI",$D$15="NO",B74&gt;18),(PMT(0.06/12,$K$9,-$C$51)-PMT(0.045/12,$K$9,-$C$51)),IF(AND($D$8=Variables!$B$4,$D$12="SI",$D$19="NO",$D$13="SI",$D$15="SI",B74&gt;24),(PMT(0.06/12,$K$9,-$C$57)-PMT(0.045/12,$K$9,-$C$57)),0))))</f>
        <v>111.43825839224587</v>
      </c>
      <c r="G74" s="14">
        <f>+IF($D$8=Variables!$B$6,0.21*IPMT('Sim Reg N° 800'!$D$18,'Sim Reg N° 800'!B74,'Sim Reg N° 800'!$K$9,-'Sim Reg N° 800'!$J$10),0)+F74*0.21</f>
        <v>23.402034262371632</v>
      </c>
      <c r="H74" s="14">
        <f t="shared" si="2"/>
        <v>742.86266444567434</v>
      </c>
      <c r="I74" s="14">
        <f t="shared" si="7"/>
        <v>0</v>
      </c>
      <c r="J74" s="14">
        <f t="shared" si="3"/>
        <v>742.86266444567434</v>
      </c>
      <c r="K74" s="26">
        <f t="shared" si="4"/>
        <v>222.85879933370231</v>
      </c>
      <c r="L74" s="21"/>
      <c r="M74" s="19"/>
      <c r="R74" s="20"/>
    </row>
    <row r="75" spans="1:18" hidden="1" x14ac:dyDescent="0.2">
      <c r="A75" s="7"/>
      <c r="B75" s="42">
        <v>42</v>
      </c>
      <c r="C75" s="14">
        <f t="shared" si="1"/>
        <v>112826.37496913143</v>
      </c>
      <c r="D75" s="14">
        <f>IF($D$8=Variables!$B$3,PPMT($D$18,B75,$K$9,-$J$10),IF($D$8=Variables!$B$6,PPMT($D$18,B75,$K$9,-$J$10),IF($D$8=Variables!$B$5,PPMT($D$18,B75-12,$K$9-12,-$C$45),IF(AND($D$8=Variables!$B$4,$D$15="si"),0,PPMT($D$18,B75-18,$K$9-18,-$J$10-SUM($L$34:$L$51))))))+IF(AND($D$8=Variables!$B$4,'Sim Reg N° 800'!$D$15="SI"),PPMT($D$18,B75-24,$K$9-24,-$J$10-SUM($M$34:$M$57)))</f>
        <v>184.23259343144599</v>
      </c>
      <c r="E75" s="14">
        <f>IF($D$8=Variables!$B$3,IPMT($D$18,B75,$K$9,-$J$10),IF($D$8=Variables!$B$6,IPMT($D$18,B75,$K$9,-$J$10),IF($D$8=Variables!$B$5,IPMT($D$18,B75-12,$K$9-12,-$C$45),IF(AND($D$8=Variables!$B$4,$D$15="si"),0,IPMT($D$18,B75-18,$K$9-18,-$J$10-SUM($L$34:$L$51))))))+IF(AND($D$8=Variables!$B$4,'Sim Reg N° 800'!$D$15="SI"),IPMT($D$18,B75-24,$K$9-24,-$J$10-SUM($M$34:$M$57)))</f>
        <v>423.78977835961086</v>
      </c>
      <c r="F75" s="14">
        <f>IF(AND($D$8=Variables!$B$3,$D$12="SI",$D$19="NO",$D$13="SI",B75&gt;=7),(PMT(0.06/12,$K$9,-$C$33)-PMT(0.045/12,$K$9,-$C$33)),IF(AND($D$8=Variables!$B$5,$D$19="NO",$D$12="SI",$D$13="SI",B75&gt;12),(PMT(0.06/12,$K$9,-$C$45)-PMT(0.045/12,$K$9,-$C$45)),IF(AND($D$8=Variables!$B$4,$D$12="SI",$D$19="NO",$D$13="SI",$D$15="NO",B75&gt;18),(PMT(0.06/12,$K$9,-$C$51)-PMT(0.045/12,$K$9,-$C$51)),IF(AND($D$8=Variables!$B$4,$D$12="SI",$D$19="NO",$D$13="SI",$D$15="SI",B75&gt;24),(PMT(0.06/12,$K$9,-$C$57)-PMT(0.045/12,$K$9,-$C$57)),0))))</f>
        <v>111.43825839224587</v>
      </c>
      <c r="G75" s="14">
        <f>+IF($D$8=Variables!$B$6,0.21*IPMT('Sim Reg N° 800'!$D$18,'Sim Reg N° 800'!B75,'Sim Reg N° 800'!$K$9,-'Sim Reg N° 800'!$J$10),0)+F75*0.21</f>
        <v>23.402034262371632</v>
      </c>
      <c r="H75" s="14">
        <f t="shared" si="2"/>
        <v>742.86266444567434</v>
      </c>
      <c r="I75" s="14">
        <f t="shared" si="7"/>
        <v>0</v>
      </c>
      <c r="J75" s="14">
        <f t="shared" si="3"/>
        <v>742.86266444567434</v>
      </c>
      <c r="K75" s="26">
        <f t="shared" si="4"/>
        <v>222.85879933370231</v>
      </c>
      <c r="L75" s="21"/>
      <c r="M75" s="19"/>
      <c r="R75" s="20"/>
    </row>
    <row r="76" spans="1:18" hidden="1" x14ac:dyDescent="0.2">
      <c r="A76" s="7"/>
      <c r="B76" s="42">
        <v>43</v>
      </c>
      <c r="C76" s="14">
        <f t="shared" si="1"/>
        <v>112641.45150347461</v>
      </c>
      <c r="D76" s="14">
        <f>IF($D$8=Variables!$B$3,PPMT($D$18,B76,$K$9,-$J$10),IF($D$8=Variables!$B$6,PPMT($D$18,B76,$K$9,-$J$10),IF($D$8=Variables!$B$5,PPMT($D$18,B76-12,$K$9-12,-$C$45),IF(AND($D$8=Variables!$B$4,$D$15="si"),0,PPMT($D$18,B76-18,$K$9-18,-$J$10-SUM($L$34:$L$51))))))+IF(AND($D$8=Variables!$B$4,'Sim Reg N° 800'!$D$15="SI"),PPMT($D$18,B76-24,$K$9-24,-$J$10-SUM($M$34:$M$57)))</f>
        <v>184.92346565681393</v>
      </c>
      <c r="E76" s="14">
        <f>IF($D$8=Variables!$B$3,IPMT($D$18,B76,$K$9,-$J$10),IF($D$8=Variables!$B$6,IPMT($D$18,B76,$K$9,-$J$10),IF($D$8=Variables!$B$5,IPMT($D$18,B76-12,$K$9-12,-$C$45),IF(AND($D$8=Variables!$B$4,$D$15="si"),0,IPMT($D$18,B76-18,$K$9-18,-$J$10-SUM($L$34:$L$51))))))+IF(AND($D$8=Variables!$B$4,'Sim Reg N° 800'!$D$15="SI"),IPMT($D$18,B76-24,$K$9-24,-$J$10-SUM($M$34:$M$57)))</f>
        <v>423.09890613424295</v>
      </c>
      <c r="F76" s="14">
        <f>IF(AND($D$8=Variables!$B$3,$D$12="SI",$D$19="NO",$D$13="SI",B76&gt;=7),(PMT(0.06/12,$K$9,-$C$33)-PMT(0.045/12,$K$9,-$C$33)),IF(AND($D$8=Variables!$B$5,$D$19="NO",$D$12="SI",$D$13="SI",B76&gt;12),(PMT(0.06/12,$K$9,-$C$45)-PMT(0.045/12,$K$9,-$C$45)),IF(AND($D$8=Variables!$B$4,$D$12="SI",$D$19="NO",$D$13="SI",$D$15="NO",B76&gt;18),(PMT(0.06/12,$K$9,-$C$51)-PMT(0.045/12,$K$9,-$C$51)),IF(AND($D$8=Variables!$B$4,$D$12="SI",$D$19="NO",$D$13="SI",$D$15="SI",B76&gt;24),(PMT(0.06/12,$K$9,-$C$57)-PMT(0.045/12,$K$9,-$C$57)),0))))</f>
        <v>111.43825839224587</v>
      </c>
      <c r="G76" s="14">
        <f>+IF($D$8=Variables!$B$6,0.21*IPMT('Sim Reg N° 800'!$D$18,'Sim Reg N° 800'!B76,'Sim Reg N° 800'!$K$9,-'Sim Reg N° 800'!$J$10),0)+F76*0.21</f>
        <v>23.402034262371632</v>
      </c>
      <c r="H76" s="14">
        <f t="shared" si="2"/>
        <v>742.86266444567434</v>
      </c>
      <c r="I76" s="14">
        <f t="shared" si="7"/>
        <v>0</v>
      </c>
      <c r="J76" s="14">
        <f t="shared" si="3"/>
        <v>742.86266444567434</v>
      </c>
      <c r="K76" s="26">
        <f t="shared" si="4"/>
        <v>222.85879933370231</v>
      </c>
      <c r="L76" s="21"/>
      <c r="M76" s="19"/>
      <c r="R76" s="20"/>
    </row>
    <row r="77" spans="1:18" hidden="1" x14ac:dyDescent="0.2">
      <c r="A77" s="7"/>
      <c r="B77" s="42">
        <v>44</v>
      </c>
      <c r="C77" s="14">
        <f t="shared" si="1"/>
        <v>112455.83457482159</v>
      </c>
      <c r="D77" s="14">
        <f>IF($D$8=Variables!$B$3,PPMT($D$18,B77,$K$9,-$J$10),IF($D$8=Variables!$B$6,PPMT($D$18,B77,$K$9,-$J$10),IF($D$8=Variables!$B$5,PPMT($D$18,B77-12,$K$9-12,-$C$45),IF(AND($D$8=Variables!$B$4,$D$15="si"),0,PPMT($D$18,B77-18,$K$9-18,-$J$10-SUM($L$34:$L$51))))))+IF(AND($D$8=Variables!$B$4,'Sim Reg N° 800'!$D$15="SI"),PPMT($D$18,B77-24,$K$9-24,-$J$10-SUM($M$34:$M$57)))</f>
        <v>185.616928653027</v>
      </c>
      <c r="E77" s="14">
        <f>IF($D$8=Variables!$B$3,IPMT($D$18,B77,$K$9,-$J$10),IF($D$8=Variables!$B$6,IPMT($D$18,B77,$K$9,-$J$10),IF($D$8=Variables!$B$5,IPMT($D$18,B77-12,$K$9-12,-$C$45),IF(AND($D$8=Variables!$B$4,$D$15="si"),0,IPMT($D$18,B77-18,$K$9-18,-$J$10-SUM($L$34:$L$51))))))+IF(AND($D$8=Variables!$B$4,'Sim Reg N° 800'!$D$15="SI"),IPMT($D$18,B77-24,$K$9-24,-$J$10-SUM($M$34:$M$57)))</f>
        <v>422.4054431380298</v>
      </c>
      <c r="F77" s="14">
        <f>IF(AND($D$8=Variables!$B$3,$D$12="SI",$D$19="NO",$D$13="SI",B77&gt;=7),(PMT(0.06/12,$K$9,-$C$33)-PMT(0.045/12,$K$9,-$C$33)),IF(AND($D$8=Variables!$B$5,$D$19="NO",$D$12="SI",$D$13="SI",B77&gt;12),(PMT(0.06/12,$K$9,-$C$45)-PMT(0.045/12,$K$9,-$C$45)),IF(AND($D$8=Variables!$B$4,$D$12="SI",$D$19="NO",$D$13="SI",$D$15="NO",B77&gt;18),(PMT(0.06/12,$K$9,-$C$51)-PMT(0.045/12,$K$9,-$C$51)),IF(AND($D$8=Variables!$B$4,$D$12="SI",$D$19="NO",$D$13="SI",$D$15="SI",B77&gt;24),(PMT(0.06/12,$K$9,-$C$57)-PMT(0.045/12,$K$9,-$C$57)),0))))</f>
        <v>111.43825839224587</v>
      </c>
      <c r="G77" s="14">
        <f>+IF($D$8=Variables!$B$6,0.21*IPMT('Sim Reg N° 800'!$D$18,'Sim Reg N° 800'!B77,'Sim Reg N° 800'!$K$9,-'Sim Reg N° 800'!$J$10),0)+F77*0.21</f>
        <v>23.402034262371632</v>
      </c>
      <c r="H77" s="14">
        <f t="shared" si="2"/>
        <v>742.86266444567423</v>
      </c>
      <c r="I77" s="14">
        <f t="shared" si="7"/>
        <v>0</v>
      </c>
      <c r="J77" s="14">
        <f t="shared" si="3"/>
        <v>742.86266444567423</v>
      </c>
      <c r="K77" s="26">
        <f t="shared" si="4"/>
        <v>222.85879933370225</v>
      </c>
      <c r="L77" s="21"/>
      <c r="M77" s="19"/>
      <c r="R77" s="20"/>
    </row>
    <row r="78" spans="1:18" hidden="1" x14ac:dyDescent="0.2">
      <c r="A78" s="7"/>
      <c r="B78" s="42">
        <v>45</v>
      </c>
      <c r="C78" s="14">
        <f t="shared" si="1"/>
        <v>112269.52158268612</v>
      </c>
      <c r="D78" s="14">
        <f>IF($D$8=Variables!$B$3,PPMT($D$18,B78,$K$9,-$J$10),IF($D$8=Variables!$B$6,PPMT($D$18,B78,$K$9,-$J$10),IF($D$8=Variables!$B$5,PPMT($D$18,B78-12,$K$9-12,-$C$45),IF(AND($D$8=Variables!$B$4,$D$15="si"),0,PPMT($D$18,B78-18,$K$9-18,-$J$10-SUM($L$34:$L$51))))))+IF(AND($D$8=Variables!$B$4,'Sim Reg N° 800'!$D$15="SI"),PPMT($D$18,B78-24,$K$9-24,-$J$10-SUM($M$34:$M$57)))</f>
        <v>186.31299213547584</v>
      </c>
      <c r="E78" s="14">
        <f>IF($D$8=Variables!$B$3,IPMT($D$18,B78,$K$9,-$J$10),IF($D$8=Variables!$B$6,IPMT($D$18,B78,$K$9,-$J$10),IF($D$8=Variables!$B$5,IPMT($D$18,B78-12,$K$9-12,-$C$45),IF(AND($D$8=Variables!$B$4,$D$15="si"),0,IPMT($D$18,B78-18,$K$9-18,-$J$10-SUM($L$34:$L$51))))))+IF(AND($D$8=Variables!$B$4,'Sim Reg N° 800'!$D$15="SI"),IPMT($D$18,B78-24,$K$9-24,-$J$10-SUM($M$34:$M$57)))</f>
        <v>421.70937965558102</v>
      </c>
      <c r="F78" s="14">
        <f>IF(AND($D$8=Variables!$B$3,$D$12="SI",$D$19="NO",$D$13="SI",B78&gt;=7),(PMT(0.06/12,$K$9,-$C$33)-PMT(0.045/12,$K$9,-$C$33)),IF(AND($D$8=Variables!$B$5,$D$19="NO",$D$12="SI",$D$13="SI",B78&gt;12),(PMT(0.06/12,$K$9,-$C$45)-PMT(0.045/12,$K$9,-$C$45)),IF(AND($D$8=Variables!$B$4,$D$12="SI",$D$19="NO",$D$13="SI",$D$15="NO",B78&gt;18),(PMT(0.06/12,$K$9,-$C$51)-PMT(0.045/12,$K$9,-$C$51)),IF(AND($D$8=Variables!$B$4,$D$12="SI",$D$19="NO",$D$13="SI",$D$15="SI",B78&gt;24),(PMT(0.06/12,$K$9,-$C$57)-PMT(0.045/12,$K$9,-$C$57)),0))))</f>
        <v>111.43825839224587</v>
      </c>
      <c r="G78" s="14">
        <f>+IF($D$8=Variables!$B$6,0.21*IPMT('Sim Reg N° 800'!$D$18,'Sim Reg N° 800'!B78,'Sim Reg N° 800'!$K$9,-'Sim Reg N° 800'!$J$10),0)+F78*0.21</f>
        <v>23.402034262371632</v>
      </c>
      <c r="H78" s="14">
        <f t="shared" si="2"/>
        <v>742.86266444567434</v>
      </c>
      <c r="I78" s="14">
        <f t="shared" si="7"/>
        <v>0</v>
      </c>
      <c r="J78" s="14">
        <f t="shared" si="3"/>
        <v>742.86266444567434</v>
      </c>
      <c r="K78" s="26">
        <f t="shared" si="4"/>
        <v>222.85879933370231</v>
      </c>
      <c r="L78" s="21"/>
      <c r="M78" s="19"/>
      <c r="R78" s="20"/>
    </row>
    <row r="79" spans="1:18" hidden="1" x14ac:dyDescent="0.2">
      <c r="A79" s="7"/>
      <c r="B79" s="42">
        <v>46</v>
      </c>
      <c r="C79" s="14">
        <f t="shared" si="1"/>
        <v>112082.50991683014</v>
      </c>
      <c r="D79" s="14">
        <f>IF($D$8=Variables!$B$3,PPMT($D$18,B79,$K$9,-$J$10),IF($D$8=Variables!$B$6,PPMT($D$18,B79,$K$9,-$J$10),IF($D$8=Variables!$B$5,PPMT($D$18,B79-12,$K$9-12,-$C$45),IF(AND($D$8=Variables!$B$4,$D$15="si"),0,PPMT($D$18,B79-18,$K$9-18,-$J$10-SUM($L$34:$L$51))))))+IF(AND($D$8=Variables!$B$4,'Sim Reg N° 800'!$D$15="SI"),PPMT($D$18,B79-24,$K$9-24,-$J$10-SUM($M$34:$M$57)))</f>
        <v>187.01166585598386</v>
      </c>
      <c r="E79" s="14">
        <f>IF($D$8=Variables!$B$3,IPMT($D$18,B79,$K$9,-$J$10),IF($D$8=Variables!$B$6,IPMT($D$18,B79,$K$9,-$J$10),IF($D$8=Variables!$B$5,IPMT($D$18,B79-12,$K$9-12,-$C$45),IF(AND($D$8=Variables!$B$4,$D$15="si"),0,IPMT($D$18,B79-18,$K$9-18,-$J$10-SUM($L$34:$L$51))))))+IF(AND($D$8=Variables!$B$4,'Sim Reg N° 800'!$D$15="SI"),IPMT($D$18,B79-24,$K$9-24,-$J$10-SUM($M$34:$M$57)))</f>
        <v>421.01070593507296</v>
      </c>
      <c r="F79" s="14">
        <f>IF(AND($D$8=Variables!$B$3,$D$12="SI",$D$19="NO",$D$13="SI",B79&gt;=7),(PMT(0.06/12,$K$9,-$C$33)-PMT(0.045/12,$K$9,-$C$33)),IF(AND($D$8=Variables!$B$5,$D$19="NO",$D$12="SI",$D$13="SI",B79&gt;12),(PMT(0.06/12,$K$9,-$C$45)-PMT(0.045/12,$K$9,-$C$45)),IF(AND($D$8=Variables!$B$4,$D$12="SI",$D$19="NO",$D$13="SI",$D$15="NO",B79&gt;18),(PMT(0.06/12,$K$9,-$C$51)-PMT(0.045/12,$K$9,-$C$51)),IF(AND($D$8=Variables!$B$4,$D$12="SI",$D$19="NO",$D$13="SI",$D$15="SI",B79&gt;24),(PMT(0.06/12,$K$9,-$C$57)-PMT(0.045/12,$K$9,-$C$57)),0))))</f>
        <v>111.43825839224587</v>
      </c>
      <c r="G79" s="14">
        <f>+IF($D$8=Variables!$B$6,0.21*IPMT('Sim Reg N° 800'!$D$18,'Sim Reg N° 800'!B79,'Sim Reg N° 800'!$K$9,-'Sim Reg N° 800'!$J$10),0)+F79*0.21</f>
        <v>23.402034262371632</v>
      </c>
      <c r="H79" s="14">
        <f t="shared" si="2"/>
        <v>742.86266444567434</v>
      </c>
      <c r="I79" s="14">
        <f t="shared" si="7"/>
        <v>0</v>
      </c>
      <c r="J79" s="14">
        <f t="shared" si="3"/>
        <v>742.86266444567434</v>
      </c>
      <c r="K79" s="26">
        <f t="shared" si="4"/>
        <v>222.85879933370231</v>
      </c>
      <c r="L79" s="21"/>
      <c r="M79" s="19"/>
      <c r="R79" s="20"/>
    </row>
    <row r="80" spans="1:18" hidden="1" x14ac:dyDescent="0.2">
      <c r="A80" s="7"/>
      <c r="B80" s="42">
        <v>47</v>
      </c>
      <c r="C80" s="14">
        <f t="shared" si="1"/>
        <v>111894.7969572272</v>
      </c>
      <c r="D80" s="14">
        <f>IF($D$8=Variables!$B$3,PPMT($D$18,B80,$K$9,-$J$10),IF($D$8=Variables!$B$6,PPMT($D$18,B80,$K$9,-$J$10),IF($D$8=Variables!$B$5,PPMT($D$18,B80-12,$K$9-12,-$C$45),IF(AND($D$8=Variables!$B$4,$D$15="si"),0,PPMT($D$18,B80-18,$K$9-18,-$J$10-SUM($L$34:$L$51))))))+IF(AND($D$8=Variables!$B$4,'Sim Reg N° 800'!$D$15="SI"),PPMT($D$18,B80-24,$K$9-24,-$J$10-SUM($M$34:$M$57)))</f>
        <v>187.71295960294381</v>
      </c>
      <c r="E80" s="14">
        <f>IF($D$8=Variables!$B$3,IPMT($D$18,B80,$K$9,-$J$10),IF($D$8=Variables!$B$6,IPMT($D$18,B80,$K$9,-$J$10),IF($D$8=Variables!$B$5,IPMT($D$18,B80-12,$K$9-12,-$C$45),IF(AND($D$8=Variables!$B$4,$D$15="si"),0,IPMT($D$18,B80-18,$K$9-18,-$J$10-SUM($L$34:$L$51))))))+IF(AND($D$8=Variables!$B$4,'Sim Reg N° 800'!$D$15="SI"),IPMT($D$18,B80-24,$K$9-24,-$J$10-SUM($M$34:$M$57)))</f>
        <v>420.30941218811301</v>
      </c>
      <c r="F80" s="14">
        <f>IF(AND($D$8=Variables!$B$3,$D$12="SI",$D$19="NO",$D$13="SI",B80&gt;=7),(PMT(0.06/12,$K$9,-$C$33)-PMT(0.045/12,$K$9,-$C$33)),IF(AND($D$8=Variables!$B$5,$D$19="NO",$D$12="SI",$D$13="SI",B80&gt;12),(PMT(0.06/12,$K$9,-$C$45)-PMT(0.045/12,$K$9,-$C$45)),IF(AND($D$8=Variables!$B$4,$D$12="SI",$D$19="NO",$D$13="SI",$D$15="NO",B80&gt;18),(PMT(0.06/12,$K$9,-$C$51)-PMT(0.045/12,$K$9,-$C$51)),IF(AND($D$8=Variables!$B$4,$D$12="SI",$D$19="NO",$D$13="SI",$D$15="SI",B80&gt;24),(PMT(0.06/12,$K$9,-$C$57)-PMT(0.045/12,$K$9,-$C$57)),0))))</f>
        <v>111.43825839224587</v>
      </c>
      <c r="G80" s="14">
        <f>+IF($D$8=Variables!$B$6,0.21*IPMT('Sim Reg N° 800'!$D$18,'Sim Reg N° 800'!B80,'Sim Reg N° 800'!$K$9,-'Sim Reg N° 800'!$J$10),0)+F80*0.21</f>
        <v>23.402034262371632</v>
      </c>
      <c r="H80" s="14">
        <f t="shared" si="2"/>
        <v>742.86266444567434</v>
      </c>
      <c r="I80" s="14">
        <f t="shared" si="7"/>
        <v>0</v>
      </c>
      <c r="J80" s="14">
        <f t="shared" si="3"/>
        <v>742.86266444567434</v>
      </c>
      <c r="K80" s="26">
        <f t="shared" si="4"/>
        <v>222.85879933370231</v>
      </c>
      <c r="L80" s="21"/>
      <c r="M80" s="19"/>
      <c r="R80" s="20"/>
    </row>
    <row r="81" spans="1:18" hidden="1" x14ac:dyDescent="0.2">
      <c r="A81" s="7"/>
      <c r="B81" s="42">
        <v>48</v>
      </c>
      <c r="C81" s="14">
        <f t="shared" si="1"/>
        <v>111706.38007402574</v>
      </c>
      <c r="D81" s="14">
        <f>IF($D$8=Variables!$B$3,PPMT($D$18,B81,$K$9,-$J$10),IF($D$8=Variables!$B$6,PPMT($D$18,B81,$K$9,-$J$10),IF($D$8=Variables!$B$5,PPMT($D$18,B81-12,$K$9-12,-$C$45),IF(AND($D$8=Variables!$B$4,$D$15="si"),0,PPMT($D$18,B81-18,$K$9-18,-$J$10-SUM($L$34:$L$51))))))+IF(AND($D$8=Variables!$B$4,'Sim Reg N° 800'!$D$15="SI"),PPMT($D$18,B81-24,$K$9-24,-$J$10-SUM($M$34:$M$57)))</f>
        <v>188.41688320145485</v>
      </c>
      <c r="E81" s="14">
        <f>IF($D$8=Variables!$B$3,IPMT($D$18,B81,$K$9,-$J$10),IF($D$8=Variables!$B$6,IPMT($D$18,B81,$K$9,-$J$10),IF($D$8=Variables!$B$5,IPMT($D$18,B81-12,$K$9-12,-$C$45),IF(AND($D$8=Variables!$B$4,$D$15="si"),0,IPMT($D$18,B81-18,$K$9-18,-$J$10-SUM($L$34:$L$51))))))+IF(AND($D$8=Variables!$B$4,'Sim Reg N° 800'!$D$15="SI"),IPMT($D$18,B81-24,$K$9-24,-$J$10-SUM($M$34:$M$57)))</f>
        <v>419.60548858960198</v>
      </c>
      <c r="F81" s="14">
        <f>IF(AND($D$8=Variables!$B$3,$D$12="SI",$D$19="NO",$D$13="SI",B81&gt;=7),(PMT(0.06/12,$K$9,-$C$33)-PMT(0.045/12,$K$9,-$C$33)),IF(AND($D$8=Variables!$B$5,$D$19="NO",$D$12="SI",$D$13="SI",B81&gt;12),(PMT(0.06/12,$K$9,-$C$45)-PMT(0.045/12,$K$9,-$C$45)),IF(AND($D$8=Variables!$B$4,$D$12="SI",$D$19="NO",$D$13="SI",$D$15="NO",B81&gt;18),(PMT(0.06/12,$K$9,-$C$51)-PMT(0.045/12,$K$9,-$C$51)),IF(AND($D$8=Variables!$B$4,$D$12="SI",$D$19="NO",$D$13="SI",$D$15="SI",B81&gt;24),(PMT(0.06/12,$K$9,-$C$57)-PMT(0.045/12,$K$9,-$C$57)),0))))</f>
        <v>111.43825839224587</v>
      </c>
      <c r="G81" s="14">
        <f>+IF($D$8=Variables!$B$6,0.21*IPMT('Sim Reg N° 800'!$D$18,'Sim Reg N° 800'!B81,'Sim Reg N° 800'!$K$9,-'Sim Reg N° 800'!$J$10),0)+F81*0.21</f>
        <v>23.402034262371632</v>
      </c>
      <c r="H81" s="14">
        <f t="shared" si="2"/>
        <v>742.86266444567434</v>
      </c>
      <c r="I81" s="14">
        <f t="shared" si="7"/>
        <v>0</v>
      </c>
      <c r="J81" s="14">
        <f t="shared" si="3"/>
        <v>742.86266444567434</v>
      </c>
      <c r="K81" s="26">
        <f t="shared" si="4"/>
        <v>222.85879933370231</v>
      </c>
      <c r="L81" s="21"/>
      <c r="M81" s="19"/>
      <c r="R81" s="20"/>
    </row>
    <row r="82" spans="1:18" hidden="1" x14ac:dyDescent="0.2">
      <c r="A82" s="7"/>
      <c r="B82" s="42">
        <v>49</v>
      </c>
      <c r="C82" s="14">
        <f t="shared" si="1"/>
        <v>111517.25662751228</v>
      </c>
      <c r="D82" s="14">
        <f>IF($D$8=Variables!$B$3,PPMT($D$18,B82,$K$9,-$J$10),IF($D$8=Variables!$B$6,PPMT($D$18,B82,$K$9,-$J$10),IF($D$8=Variables!$B$5,PPMT($D$18,B82-12,$K$9-12,-$C$45),IF(AND($D$8=Variables!$B$4,$D$15="si"),0,PPMT($D$18,B82-18,$K$9-18,-$J$10-SUM($L$34:$L$51))))))+IF(AND($D$8=Variables!$B$4,'Sim Reg N° 800'!$D$15="SI"),PPMT($D$18,B82-24,$K$9-24,-$J$10-SUM($M$34:$M$57)))</f>
        <v>189.12344651346027</v>
      </c>
      <c r="E82" s="14">
        <f>IF($D$8=Variables!$B$3,IPMT($D$18,B82,$K$9,-$J$10),IF($D$8=Variables!$B$6,IPMT($D$18,B82,$K$9,-$J$10),IF($D$8=Variables!$B$5,IPMT($D$18,B82-12,$K$9-12,-$C$45),IF(AND($D$8=Variables!$B$4,$D$15="si"),0,IPMT($D$18,B82-18,$K$9-18,-$J$10-SUM($L$34:$L$51))))))+IF(AND($D$8=Variables!$B$4,'Sim Reg N° 800'!$D$15="SI"),IPMT($D$18,B82-24,$K$9-24,-$J$10-SUM($M$34:$M$57)))</f>
        <v>418.89892527759656</v>
      </c>
      <c r="F82" s="14">
        <f>IF(AND($D$8=Variables!$B$3,$D$12="SI",$D$19="NO",$D$13="SI",B82&gt;=7),(PMT(0.06/12,$K$9,-$C$33)-PMT(0.045/12,$K$9,-$C$33)),IF(AND($D$8=Variables!$B$5,$D$19="NO",$D$12="SI",$D$13="SI",B82&gt;12),(PMT(0.06/12,$K$9,-$C$45)-PMT(0.045/12,$K$9,-$C$45)),IF(AND($D$8=Variables!$B$4,$D$12="SI",$D$19="NO",$D$13="SI",$D$15="NO",B82&gt;18),(PMT(0.06/12,$K$9,-$C$51)-PMT(0.045/12,$K$9,-$C$51)),IF(AND($D$8=Variables!$B$4,$D$12="SI",$D$19="NO",$D$13="SI",$D$15="SI",B82&gt;24),(PMT(0.06/12,$K$9,-$C$57)-PMT(0.045/12,$K$9,-$C$57)),0))))</f>
        <v>111.43825839224587</v>
      </c>
      <c r="G82" s="14">
        <f>+IF($D$8=Variables!$B$6,0.21*IPMT('Sim Reg N° 800'!$D$18,'Sim Reg N° 800'!B82,'Sim Reg N° 800'!$K$9,-'Sim Reg N° 800'!$J$10),0)+F82*0.21</f>
        <v>23.402034262371632</v>
      </c>
      <c r="H82" s="14">
        <f t="shared" si="2"/>
        <v>742.86266444567434</v>
      </c>
      <c r="I82" s="14">
        <f t="shared" si="7"/>
        <v>95.999999999999986</v>
      </c>
      <c r="J82" s="14">
        <f t="shared" si="3"/>
        <v>838.86266444567434</v>
      </c>
      <c r="K82" s="26">
        <f t="shared" si="4"/>
        <v>251.65879933370229</v>
      </c>
      <c r="L82" s="21"/>
      <c r="M82" s="19"/>
      <c r="R82" s="20"/>
    </row>
    <row r="83" spans="1:18" hidden="1" x14ac:dyDescent="0.2">
      <c r="A83" s="7"/>
      <c r="B83" s="42">
        <v>50</v>
      </c>
      <c r="C83" s="14">
        <f t="shared" si="1"/>
        <v>111327.42396807439</v>
      </c>
      <c r="D83" s="14">
        <f>IF($D$8=Variables!$B$3,PPMT($D$18,B83,$K$9,-$J$10),IF($D$8=Variables!$B$6,PPMT($D$18,B83,$K$9,-$J$10),IF($D$8=Variables!$B$5,PPMT($D$18,B83-12,$K$9-12,-$C$45),IF(AND($D$8=Variables!$B$4,$D$15="si"),0,PPMT($D$18,B83-18,$K$9-18,-$J$10-SUM($L$34:$L$51))))))+IF(AND($D$8=Variables!$B$4,'Sim Reg N° 800'!$D$15="SI"),PPMT($D$18,B83-24,$K$9-24,-$J$10-SUM($M$34:$M$57)))</f>
        <v>189.83265943788578</v>
      </c>
      <c r="E83" s="14">
        <f>IF($D$8=Variables!$B$3,IPMT($D$18,B83,$K$9,-$J$10),IF($D$8=Variables!$B$6,IPMT($D$18,B83,$K$9,-$J$10),IF($D$8=Variables!$B$5,IPMT($D$18,B83-12,$K$9-12,-$C$45),IF(AND($D$8=Variables!$B$4,$D$15="si"),0,IPMT($D$18,B83-18,$K$9-18,-$J$10-SUM($L$34:$L$51))))))+IF(AND($D$8=Variables!$B$4,'Sim Reg N° 800'!$D$15="SI"),IPMT($D$18,B83-24,$K$9-24,-$J$10-SUM($M$34:$M$57)))</f>
        <v>418.18971235317105</v>
      </c>
      <c r="F83" s="14">
        <f>IF(AND($D$8=Variables!$B$3,$D$12="SI",$D$19="NO",$D$13="SI",B83&gt;=7),(PMT(0.06/12,$K$9,-$C$33)-PMT(0.045/12,$K$9,-$C$33)),IF(AND($D$8=Variables!$B$5,$D$19="NO",$D$12="SI",$D$13="SI",B83&gt;12),(PMT(0.06/12,$K$9,-$C$45)-PMT(0.045/12,$K$9,-$C$45)),IF(AND($D$8=Variables!$B$4,$D$12="SI",$D$19="NO",$D$13="SI",$D$15="NO",B83&gt;18),(PMT(0.06/12,$K$9,-$C$51)-PMT(0.045/12,$K$9,-$C$51)),IF(AND($D$8=Variables!$B$4,$D$12="SI",$D$19="NO",$D$13="SI",$D$15="SI",B83&gt;24),(PMT(0.06/12,$K$9,-$C$57)-PMT(0.045/12,$K$9,-$C$57)),0))))</f>
        <v>111.43825839224587</v>
      </c>
      <c r="G83" s="14">
        <f>+IF($D$8=Variables!$B$6,0.21*IPMT('Sim Reg N° 800'!$D$18,'Sim Reg N° 800'!B83,'Sim Reg N° 800'!$K$9,-'Sim Reg N° 800'!$J$10),0)+F83*0.21</f>
        <v>23.402034262371632</v>
      </c>
      <c r="H83" s="14">
        <f t="shared" si="2"/>
        <v>742.86266444567434</v>
      </c>
      <c r="I83" s="14">
        <f t="shared" si="7"/>
        <v>0</v>
      </c>
      <c r="J83" s="14">
        <f t="shared" si="3"/>
        <v>742.86266444567434</v>
      </c>
      <c r="K83" s="26">
        <f t="shared" si="4"/>
        <v>222.85879933370231</v>
      </c>
      <c r="L83" s="21"/>
      <c r="M83" s="19"/>
      <c r="R83" s="20"/>
    </row>
    <row r="84" spans="1:18" hidden="1" x14ac:dyDescent="0.2">
      <c r="A84" s="7"/>
      <c r="B84" s="42">
        <v>51</v>
      </c>
      <c r="C84" s="14">
        <f t="shared" si="1"/>
        <v>111136.87943616361</v>
      </c>
      <c r="D84" s="14">
        <f>IF($D$8=Variables!$B$3,PPMT($D$18,B84,$K$9,-$J$10),IF($D$8=Variables!$B$6,PPMT($D$18,B84,$K$9,-$J$10),IF($D$8=Variables!$B$5,PPMT($D$18,B84-12,$K$9-12,-$C$45),IF(AND($D$8=Variables!$B$4,$D$15="si"),0,PPMT($D$18,B84-18,$K$9-18,-$J$10-SUM($L$34:$L$51))))))+IF(AND($D$8=Variables!$B$4,'Sim Reg N° 800'!$D$15="SI"),PPMT($D$18,B84-24,$K$9-24,-$J$10-SUM($M$34:$M$57)))</f>
        <v>190.54453191077783</v>
      </c>
      <c r="E84" s="14">
        <f>IF($D$8=Variables!$B$3,IPMT($D$18,B84,$K$9,-$J$10),IF($D$8=Variables!$B$6,IPMT($D$18,B84,$K$9,-$J$10),IF($D$8=Variables!$B$5,IPMT($D$18,B84-12,$K$9-12,-$C$45),IF(AND($D$8=Variables!$B$4,$D$15="si"),0,IPMT($D$18,B84-18,$K$9-18,-$J$10-SUM($L$34:$L$51))))))+IF(AND($D$8=Variables!$B$4,'Sim Reg N° 800'!$D$15="SI"),IPMT($D$18,B84-24,$K$9-24,-$J$10-SUM($M$34:$M$57)))</f>
        <v>417.47783988027902</v>
      </c>
      <c r="F84" s="14">
        <f>IF(AND($D$8=Variables!$B$3,$D$12="SI",$D$19="NO",$D$13="SI",B84&gt;=7),(PMT(0.06/12,$K$9,-$C$33)-PMT(0.045/12,$K$9,-$C$33)),IF(AND($D$8=Variables!$B$5,$D$19="NO",$D$12="SI",$D$13="SI",B84&gt;12),(PMT(0.06/12,$K$9,-$C$45)-PMT(0.045/12,$K$9,-$C$45)),IF(AND($D$8=Variables!$B$4,$D$12="SI",$D$19="NO",$D$13="SI",$D$15="NO",B84&gt;18),(PMT(0.06/12,$K$9,-$C$51)-PMT(0.045/12,$K$9,-$C$51)),IF(AND($D$8=Variables!$B$4,$D$12="SI",$D$19="NO",$D$13="SI",$D$15="SI",B84&gt;24),(PMT(0.06/12,$K$9,-$C$57)-PMT(0.045/12,$K$9,-$C$57)),0))))</f>
        <v>111.43825839224587</v>
      </c>
      <c r="G84" s="14">
        <f>+IF($D$8=Variables!$B$6,0.21*IPMT('Sim Reg N° 800'!$D$18,'Sim Reg N° 800'!B84,'Sim Reg N° 800'!$K$9,-'Sim Reg N° 800'!$J$10),0)+F84*0.21</f>
        <v>23.402034262371632</v>
      </c>
      <c r="H84" s="14">
        <f t="shared" si="2"/>
        <v>742.86266444567434</v>
      </c>
      <c r="I84" s="14">
        <f t="shared" si="7"/>
        <v>0</v>
      </c>
      <c r="J84" s="14">
        <f t="shared" si="3"/>
        <v>742.86266444567434</v>
      </c>
      <c r="K84" s="26">
        <f t="shared" si="4"/>
        <v>222.85879933370231</v>
      </c>
      <c r="L84" s="21"/>
      <c r="M84" s="19"/>
      <c r="R84" s="20"/>
    </row>
    <row r="85" spans="1:18" hidden="1" x14ac:dyDescent="0.2">
      <c r="A85" s="7"/>
      <c r="B85" s="42">
        <v>52</v>
      </c>
      <c r="C85" s="14">
        <f t="shared" si="1"/>
        <v>110945.62036225817</v>
      </c>
      <c r="D85" s="14">
        <f>IF($D$8=Variables!$B$3,PPMT($D$18,B85,$K$9,-$J$10),IF($D$8=Variables!$B$6,PPMT($D$18,B85,$K$9,-$J$10),IF($D$8=Variables!$B$5,PPMT($D$18,B85-12,$K$9-12,-$C$45),IF(AND($D$8=Variables!$B$4,$D$15="si"),0,PPMT($D$18,B85-18,$K$9-18,-$J$10-SUM($L$34:$L$51))))))+IF(AND($D$8=Variables!$B$4,'Sim Reg N° 800'!$D$15="SI"),PPMT($D$18,B85-24,$K$9-24,-$J$10-SUM($M$34:$M$57)))</f>
        <v>191.25907390544327</v>
      </c>
      <c r="E85" s="14">
        <f>IF($D$8=Variables!$B$3,IPMT($D$18,B85,$K$9,-$J$10),IF($D$8=Variables!$B$6,IPMT($D$18,B85,$K$9,-$J$10),IF($D$8=Variables!$B$5,IPMT($D$18,B85-12,$K$9-12,-$C$45),IF(AND($D$8=Variables!$B$4,$D$15="si"),0,IPMT($D$18,B85-18,$K$9-18,-$J$10-SUM($L$34:$L$51))))))+IF(AND($D$8=Variables!$B$4,'Sim Reg N° 800'!$D$15="SI"),IPMT($D$18,B85-24,$K$9-24,-$J$10-SUM($M$34:$M$57)))</f>
        <v>416.76329788561355</v>
      </c>
      <c r="F85" s="14">
        <f>IF(AND($D$8=Variables!$B$3,$D$12="SI",$D$19="NO",$D$13="SI",B85&gt;=7),(PMT(0.06/12,$K$9,-$C$33)-PMT(0.045/12,$K$9,-$C$33)),IF(AND($D$8=Variables!$B$5,$D$19="NO",$D$12="SI",$D$13="SI",B85&gt;12),(PMT(0.06/12,$K$9,-$C$45)-PMT(0.045/12,$K$9,-$C$45)),IF(AND($D$8=Variables!$B$4,$D$12="SI",$D$19="NO",$D$13="SI",$D$15="NO",B85&gt;18),(PMT(0.06/12,$K$9,-$C$51)-PMT(0.045/12,$K$9,-$C$51)),IF(AND($D$8=Variables!$B$4,$D$12="SI",$D$19="NO",$D$13="SI",$D$15="SI",B85&gt;24),(PMT(0.06/12,$K$9,-$C$57)-PMT(0.045/12,$K$9,-$C$57)),0))))</f>
        <v>111.43825839224587</v>
      </c>
      <c r="G85" s="14">
        <f>+IF($D$8=Variables!$B$6,0.21*IPMT('Sim Reg N° 800'!$D$18,'Sim Reg N° 800'!B85,'Sim Reg N° 800'!$K$9,-'Sim Reg N° 800'!$J$10),0)+F85*0.21</f>
        <v>23.402034262371632</v>
      </c>
      <c r="H85" s="14">
        <f t="shared" si="2"/>
        <v>742.86266444567434</v>
      </c>
      <c r="I85" s="14">
        <f t="shared" si="7"/>
        <v>0</v>
      </c>
      <c r="J85" s="14">
        <f t="shared" si="3"/>
        <v>742.86266444567434</v>
      </c>
      <c r="K85" s="26">
        <f t="shared" si="4"/>
        <v>222.85879933370231</v>
      </c>
      <c r="L85" s="21"/>
      <c r="M85" s="19"/>
      <c r="R85" s="20"/>
    </row>
    <row r="86" spans="1:18" hidden="1" x14ac:dyDescent="0.2">
      <c r="A86" s="7"/>
      <c r="B86" s="42">
        <v>53</v>
      </c>
      <c r="C86" s="14">
        <f t="shared" si="1"/>
        <v>110753.64406682558</v>
      </c>
      <c r="D86" s="14">
        <f>IF($D$8=Variables!$B$3,PPMT($D$18,B86,$K$9,-$J$10),IF($D$8=Variables!$B$6,PPMT($D$18,B86,$K$9,-$J$10),IF($D$8=Variables!$B$5,PPMT($D$18,B86-12,$K$9-12,-$C$45),IF(AND($D$8=Variables!$B$4,$D$15="si"),0,PPMT($D$18,B86-18,$K$9-18,-$J$10-SUM($L$34:$L$51))))))+IF(AND($D$8=Variables!$B$4,'Sim Reg N° 800'!$D$15="SI"),PPMT($D$18,B86-24,$K$9-24,-$J$10-SUM($M$34:$M$57)))</f>
        <v>191.97629543258867</v>
      </c>
      <c r="E86" s="14">
        <f>IF($D$8=Variables!$B$3,IPMT($D$18,B86,$K$9,-$J$10),IF($D$8=Variables!$B$6,IPMT($D$18,B86,$K$9,-$J$10),IF($D$8=Variables!$B$5,IPMT($D$18,B86-12,$K$9-12,-$C$45),IF(AND($D$8=Variables!$B$4,$D$15="si"),0,IPMT($D$18,B86-18,$K$9-18,-$J$10-SUM($L$34:$L$51))))))+IF(AND($D$8=Variables!$B$4,'Sim Reg N° 800'!$D$15="SI"),IPMT($D$18,B86-24,$K$9-24,-$J$10-SUM($M$34:$M$57)))</f>
        <v>416.0460763584681</v>
      </c>
      <c r="F86" s="14">
        <f>IF(AND($D$8=Variables!$B$3,$D$12="SI",$D$19="NO",$D$13="SI",B86&gt;=7),(PMT(0.06/12,$K$9,-$C$33)-PMT(0.045/12,$K$9,-$C$33)),IF(AND($D$8=Variables!$B$5,$D$19="NO",$D$12="SI",$D$13="SI",B86&gt;12),(PMT(0.06/12,$K$9,-$C$45)-PMT(0.045/12,$K$9,-$C$45)),IF(AND($D$8=Variables!$B$4,$D$12="SI",$D$19="NO",$D$13="SI",$D$15="NO",B86&gt;18),(PMT(0.06/12,$K$9,-$C$51)-PMT(0.045/12,$K$9,-$C$51)),IF(AND($D$8=Variables!$B$4,$D$12="SI",$D$19="NO",$D$13="SI",$D$15="SI",B86&gt;24),(PMT(0.06/12,$K$9,-$C$57)-PMT(0.045/12,$K$9,-$C$57)),0))))</f>
        <v>111.43825839224587</v>
      </c>
      <c r="G86" s="14">
        <f>+IF($D$8=Variables!$B$6,0.21*IPMT('Sim Reg N° 800'!$D$18,'Sim Reg N° 800'!B86,'Sim Reg N° 800'!$K$9,-'Sim Reg N° 800'!$J$10),0)+F86*0.21</f>
        <v>23.402034262371632</v>
      </c>
      <c r="H86" s="14">
        <f t="shared" si="2"/>
        <v>742.86266444567423</v>
      </c>
      <c r="I86" s="14">
        <f t="shared" si="7"/>
        <v>0</v>
      </c>
      <c r="J86" s="14">
        <f t="shared" si="3"/>
        <v>742.86266444567423</v>
      </c>
      <c r="K86" s="26">
        <f t="shared" si="4"/>
        <v>222.85879933370225</v>
      </c>
      <c r="L86" s="21"/>
      <c r="M86" s="19"/>
      <c r="R86" s="20"/>
    </row>
    <row r="87" spans="1:18" hidden="1" x14ac:dyDescent="0.2">
      <c r="A87" s="7"/>
      <c r="B87" s="42">
        <v>54</v>
      </c>
      <c r="C87" s="14">
        <f t="shared" si="1"/>
        <v>110560.94786028512</v>
      </c>
      <c r="D87" s="14">
        <f>IF($D$8=Variables!$B$3,PPMT($D$18,B87,$K$9,-$J$10),IF($D$8=Variables!$B$6,PPMT($D$18,B87,$K$9,-$J$10),IF($D$8=Variables!$B$5,PPMT($D$18,B87-12,$K$9-12,-$C$45),IF(AND($D$8=Variables!$B$4,$D$15="si"),0,PPMT($D$18,B87-18,$K$9-18,-$J$10-SUM($L$34:$L$51))))))+IF(AND($D$8=Variables!$B$4,'Sim Reg N° 800'!$D$15="SI"),PPMT($D$18,B87-24,$K$9-24,-$J$10-SUM($M$34:$M$57)))</f>
        <v>192.69620654046088</v>
      </c>
      <c r="E87" s="14">
        <f>IF($D$8=Variables!$B$3,IPMT($D$18,B87,$K$9,-$J$10),IF($D$8=Variables!$B$6,IPMT($D$18,B87,$K$9,-$J$10),IF($D$8=Variables!$B$5,IPMT($D$18,B87-12,$K$9-12,-$C$45),IF(AND($D$8=Variables!$B$4,$D$15="si"),0,IPMT($D$18,B87-18,$K$9-18,-$J$10-SUM($L$34:$L$51))))))+IF(AND($D$8=Variables!$B$4,'Sim Reg N° 800'!$D$15="SI"),IPMT($D$18,B87-24,$K$9-24,-$J$10-SUM($M$34:$M$57)))</f>
        <v>415.32616525059598</v>
      </c>
      <c r="F87" s="14">
        <f>IF(AND($D$8=Variables!$B$3,$D$12="SI",$D$19="NO",$D$13="SI",B87&gt;=7),(PMT(0.06/12,$K$9,-$C$33)-PMT(0.045/12,$K$9,-$C$33)),IF(AND($D$8=Variables!$B$5,$D$19="NO",$D$12="SI",$D$13="SI",B87&gt;12),(PMT(0.06/12,$K$9,-$C$45)-PMT(0.045/12,$K$9,-$C$45)),IF(AND($D$8=Variables!$B$4,$D$12="SI",$D$19="NO",$D$13="SI",$D$15="NO",B87&gt;18),(PMT(0.06/12,$K$9,-$C$51)-PMT(0.045/12,$K$9,-$C$51)),IF(AND($D$8=Variables!$B$4,$D$12="SI",$D$19="NO",$D$13="SI",$D$15="SI",B87&gt;24),(PMT(0.06/12,$K$9,-$C$57)-PMT(0.045/12,$K$9,-$C$57)),0))))</f>
        <v>111.43825839224587</v>
      </c>
      <c r="G87" s="14">
        <f>+IF($D$8=Variables!$B$6,0.21*IPMT('Sim Reg N° 800'!$D$18,'Sim Reg N° 800'!B87,'Sim Reg N° 800'!$K$9,-'Sim Reg N° 800'!$J$10),0)+F87*0.21</f>
        <v>23.402034262371632</v>
      </c>
      <c r="H87" s="14">
        <f t="shared" si="2"/>
        <v>742.86266444567434</v>
      </c>
      <c r="I87" s="14">
        <f t="shared" si="7"/>
        <v>0</v>
      </c>
      <c r="J87" s="14">
        <f t="shared" si="3"/>
        <v>742.86266444567434</v>
      </c>
      <c r="K87" s="26">
        <f t="shared" si="4"/>
        <v>222.85879933370231</v>
      </c>
      <c r="L87" s="21"/>
      <c r="M87" s="19"/>
      <c r="R87" s="20"/>
    </row>
    <row r="88" spans="1:18" hidden="1" x14ac:dyDescent="0.2">
      <c r="A88" s="7"/>
      <c r="B88" s="42">
        <v>55</v>
      </c>
      <c r="C88" s="14">
        <f t="shared" si="1"/>
        <v>110367.52904297013</v>
      </c>
      <c r="D88" s="14">
        <f>IF($D$8=Variables!$B$3,PPMT($D$18,B88,$K$9,-$J$10),IF($D$8=Variables!$B$6,PPMT($D$18,B88,$K$9,-$J$10),IF($D$8=Variables!$B$5,PPMT($D$18,B88-12,$K$9-12,-$C$45),IF(AND($D$8=Variables!$B$4,$D$15="si"),0,PPMT($D$18,B88-18,$K$9-18,-$J$10-SUM($L$34:$L$51))))))+IF(AND($D$8=Variables!$B$4,'Sim Reg N° 800'!$D$15="SI"),PPMT($D$18,B88-24,$K$9-24,-$J$10-SUM($M$34:$M$57)))</f>
        <v>193.41881731498762</v>
      </c>
      <c r="E88" s="14">
        <f>IF($D$8=Variables!$B$3,IPMT($D$18,B88,$K$9,-$J$10),IF($D$8=Variables!$B$6,IPMT($D$18,B88,$K$9,-$J$10),IF($D$8=Variables!$B$5,IPMT($D$18,B88-12,$K$9-12,-$C$45),IF(AND($D$8=Variables!$B$4,$D$15="si"),0,IPMT($D$18,B88-18,$K$9-18,-$J$10-SUM($L$34:$L$51))))))+IF(AND($D$8=Variables!$B$4,'Sim Reg N° 800'!$D$15="SI"),IPMT($D$18,B88-24,$K$9-24,-$J$10-SUM($M$34:$M$57)))</f>
        <v>414.60355447606923</v>
      </c>
      <c r="F88" s="14">
        <f>IF(AND($D$8=Variables!$B$3,$D$12="SI",$D$19="NO",$D$13="SI",B88&gt;=7),(PMT(0.06/12,$K$9,-$C$33)-PMT(0.045/12,$K$9,-$C$33)),IF(AND($D$8=Variables!$B$5,$D$19="NO",$D$12="SI",$D$13="SI",B88&gt;12),(PMT(0.06/12,$K$9,-$C$45)-PMT(0.045/12,$K$9,-$C$45)),IF(AND($D$8=Variables!$B$4,$D$12="SI",$D$19="NO",$D$13="SI",$D$15="NO",B88&gt;18),(PMT(0.06/12,$K$9,-$C$51)-PMT(0.045/12,$K$9,-$C$51)),IF(AND($D$8=Variables!$B$4,$D$12="SI",$D$19="NO",$D$13="SI",$D$15="SI",B88&gt;24),(PMT(0.06/12,$K$9,-$C$57)-PMT(0.045/12,$K$9,-$C$57)),0))))</f>
        <v>111.43825839224587</v>
      </c>
      <c r="G88" s="14">
        <f>+IF($D$8=Variables!$B$6,0.21*IPMT('Sim Reg N° 800'!$D$18,'Sim Reg N° 800'!B88,'Sim Reg N° 800'!$K$9,-'Sim Reg N° 800'!$J$10),0)+F88*0.21</f>
        <v>23.402034262371632</v>
      </c>
      <c r="H88" s="14">
        <f t="shared" si="2"/>
        <v>742.86266444567434</v>
      </c>
      <c r="I88" s="14">
        <f t="shared" si="7"/>
        <v>0</v>
      </c>
      <c r="J88" s="14">
        <f t="shared" si="3"/>
        <v>742.86266444567434</v>
      </c>
      <c r="K88" s="26">
        <f t="shared" si="4"/>
        <v>222.85879933370231</v>
      </c>
      <c r="L88" s="21"/>
      <c r="M88" s="19"/>
      <c r="R88" s="20"/>
    </row>
    <row r="89" spans="1:18" hidden="1" x14ac:dyDescent="0.2">
      <c r="A89" s="7"/>
      <c r="B89" s="42">
        <v>56</v>
      </c>
      <c r="C89" s="14">
        <f t="shared" si="1"/>
        <v>110173.38490509021</v>
      </c>
      <c r="D89" s="14">
        <f>IF($D$8=Variables!$B$3,PPMT($D$18,B89,$K$9,-$J$10),IF($D$8=Variables!$B$6,PPMT($D$18,B89,$K$9,-$J$10),IF($D$8=Variables!$B$5,PPMT($D$18,B89-12,$K$9-12,-$C$45),IF(AND($D$8=Variables!$B$4,$D$15="si"),0,PPMT($D$18,B89-18,$K$9-18,-$J$10-SUM($L$34:$L$51))))))+IF(AND($D$8=Variables!$B$4,'Sim Reg N° 800'!$D$15="SI"),PPMT($D$18,B89-24,$K$9-24,-$J$10-SUM($M$34:$M$57)))</f>
        <v>194.14413787991879</v>
      </c>
      <c r="E89" s="14">
        <f>IF($D$8=Variables!$B$3,IPMT($D$18,B89,$K$9,-$J$10),IF($D$8=Variables!$B$6,IPMT($D$18,B89,$K$9,-$J$10),IF($D$8=Variables!$B$5,IPMT($D$18,B89-12,$K$9-12,-$C$45),IF(AND($D$8=Variables!$B$4,$D$15="si"),0,IPMT($D$18,B89-18,$K$9-18,-$J$10-SUM($L$34:$L$51))))))+IF(AND($D$8=Variables!$B$4,'Sim Reg N° 800'!$D$15="SI"),IPMT($D$18,B89-24,$K$9-24,-$J$10-SUM($M$34:$M$57)))</f>
        <v>413.87823391113801</v>
      </c>
      <c r="F89" s="14">
        <f>IF(AND($D$8=Variables!$B$3,$D$12="SI",$D$19="NO",$D$13="SI",B89&gt;=7),(PMT(0.06/12,$K$9,-$C$33)-PMT(0.045/12,$K$9,-$C$33)),IF(AND($D$8=Variables!$B$5,$D$19="NO",$D$12="SI",$D$13="SI",B89&gt;12),(PMT(0.06/12,$K$9,-$C$45)-PMT(0.045/12,$K$9,-$C$45)),IF(AND($D$8=Variables!$B$4,$D$12="SI",$D$19="NO",$D$13="SI",$D$15="NO",B89&gt;18),(PMT(0.06/12,$K$9,-$C$51)-PMT(0.045/12,$K$9,-$C$51)),IF(AND($D$8=Variables!$B$4,$D$12="SI",$D$19="NO",$D$13="SI",$D$15="SI",B89&gt;24),(PMT(0.06/12,$K$9,-$C$57)-PMT(0.045/12,$K$9,-$C$57)),0))))</f>
        <v>111.43825839224587</v>
      </c>
      <c r="G89" s="14">
        <f>+IF($D$8=Variables!$B$6,0.21*IPMT('Sim Reg N° 800'!$D$18,'Sim Reg N° 800'!B89,'Sim Reg N° 800'!$K$9,-'Sim Reg N° 800'!$J$10),0)+F89*0.21</f>
        <v>23.402034262371632</v>
      </c>
      <c r="H89" s="14">
        <f t="shared" si="2"/>
        <v>742.86266444567423</v>
      </c>
      <c r="I89" s="14">
        <f t="shared" si="7"/>
        <v>0</v>
      </c>
      <c r="J89" s="14">
        <f t="shared" si="3"/>
        <v>742.86266444567423</v>
      </c>
      <c r="K89" s="26">
        <f t="shared" si="4"/>
        <v>222.85879933370225</v>
      </c>
      <c r="L89" s="21"/>
      <c r="M89" s="19"/>
      <c r="R89" s="20"/>
    </row>
    <row r="90" spans="1:18" hidden="1" x14ac:dyDescent="0.2">
      <c r="A90" s="7"/>
      <c r="B90" s="42">
        <v>57</v>
      </c>
      <c r="C90" s="14">
        <f t="shared" si="1"/>
        <v>109978.51272669324</v>
      </c>
      <c r="D90" s="14">
        <f>IF($D$8=Variables!$B$3,PPMT($D$18,B90,$K$9,-$J$10),IF($D$8=Variables!$B$6,PPMT($D$18,B90,$K$9,-$J$10),IF($D$8=Variables!$B$5,PPMT($D$18,B90-12,$K$9-12,-$C$45),IF(AND($D$8=Variables!$B$4,$D$15="si"),0,PPMT($D$18,B90-18,$K$9-18,-$J$10-SUM($L$34:$L$51))))))+IF(AND($D$8=Variables!$B$4,'Sim Reg N° 800'!$D$15="SI"),PPMT($D$18,B90-24,$K$9-24,-$J$10-SUM($M$34:$M$57)))</f>
        <v>194.87217839696851</v>
      </c>
      <c r="E90" s="14">
        <f>IF($D$8=Variables!$B$3,IPMT($D$18,B90,$K$9,-$J$10),IF($D$8=Variables!$B$6,IPMT($D$18,B90,$K$9,-$J$10),IF($D$8=Variables!$B$5,IPMT($D$18,B90-12,$K$9-12,-$C$45),IF(AND($D$8=Variables!$B$4,$D$15="si"),0,IPMT($D$18,B90-18,$K$9-18,-$J$10-SUM($L$34:$L$51))))))+IF(AND($D$8=Variables!$B$4,'Sim Reg N° 800'!$D$15="SI"),IPMT($D$18,B90-24,$K$9-24,-$J$10-SUM($M$34:$M$57)))</f>
        <v>413.15019339408838</v>
      </c>
      <c r="F90" s="14">
        <f>IF(AND($D$8=Variables!$B$3,$D$12="SI",$D$19="NO",$D$13="SI",B90&gt;=7),(PMT(0.06/12,$K$9,-$C$33)-PMT(0.045/12,$K$9,-$C$33)),IF(AND($D$8=Variables!$B$5,$D$19="NO",$D$12="SI",$D$13="SI",B90&gt;12),(PMT(0.06/12,$K$9,-$C$45)-PMT(0.045/12,$K$9,-$C$45)),IF(AND($D$8=Variables!$B$4,$D$12="SI",$D$19="NO",$D$13="SI",$D$15="NO",B90&gt;18),(PMT(0.06/12,$K$9,-$C$51)-PMT(0.045/12,$K$9,-$C$51)),IF(AND($D$8=Variables!$B$4,$D$12="SI",$D$19="NO",$D$13="SI",$D$15="SI",B90&gt;24),(PMT(0.06/12,$K$9,-$C$57)-PMT(0.045/12,$K$9,-$C$57)),0))))</f>
        <v>111.43825839224587</v>
      </c>
      <c r="G90" s="14">
        <f>+IF($D$8=Variables!$B$6,0.21*IPMT('Sim Reg N° 800'!$D$18,'Sim Reg N° 800'!B90,'Sim Reg N° 800'!$K$9,-'Sim Reg N° 800'!$J$10),0)+F90*0.21</f>
        <v>23.402034262371632</v>
      </c>
      <c r="H90" s="14">
        <f t="shared" si="2"/>
        <v>742.86266444567434</v>
      </c>
      <c r="I90" s="14">
        <f t="shared" si="7"/>
        <v>0</v>
      </c>
      <c r="J90" s="14">
        <f t="shared" si="3"/>
        <v>742.86266444567434</v>
      </c>
      <c r="K90" s="26">
        <f t="shared" si="4"/>
        <v>222.85879933370231</v>
      </c>
      <c r="L90" s="21"/>
      <c r="M90" s="19"/>
      <c r="R90" s="20"/>
    </row>
    <row r="91" spans="1:18" hidden="1" x14ac:dyDescent="0.2">
      <c r="A91" s="7"/>
      <c r="B91" s="42">
        <v>58</v>
      </c>
      <c r="C91" s="14">
        <f t="shared" si="1"/>
        <v>109782.90977762728</v>
      </c>
      <c r="D91" s="14">
        <f>IF($D$8=Variables!$B$3,PPMT($D$18,B91,$K$9,-$J$10),IF($D$8=Variables!$B$6,PPMT($D$18,B91,$K$9,-$J$10),IF($D$8=Variables!$B$5,PPMT($D$18,B91-12,$K$9-12,-$C$45),IF(AND($D$8=Variables!$B$4,$D$15="si"),0,PPMT($D$18,B91-18,$K$9-18,-$J$10-SUM($L$34:$L$51))))))+IF(AND($D$8=Variables!$B$4,'Sim Reg N° 800'!$D$15="SI"),PPMT($D$18,B91-24,$K$9-24,-$J$10-SUM($M$34:$M$57)))</f>
        <v>195.60294906595715</v>
      </c>
      <c r="E91" s="14">
        <f>IF($D$8=Variables!$B$3,IPMT($D$18,B91,$K$9,-$J$10),IF($D$8=Variables!$B$6,IPMT($D$18,B91,$K$9,-$J$10),IF($D$8=Variables!$B$5,IPMT($D$18,B91-12,$K$9-12,-$C$45),IF(AND($D$8=Variables!$B$4,$D$15="si"),0,IPMT($D$18,B91-18,$K$9-18,-$J$10-SUM($L$34:$L$51))))))+IF(AND($D$8=Variables!$B$4,'Sim Reg N° 800'!$D$15="SI"),IPMT($D$18,B91-24,$K$9-24,-$J$10-SUM($M$34:$M$57)))</f>
        <v>412.41942272509976</v>
      </c>
      <c r="F91" s="14">
        <f>IF(AND($D$8=Variables!$B$3,$D$12="SI",$D$19="NO",$D$13="SI",B91&gt;=7),(PMT(0.06/12,$K$9,-$C$33)-PMT(0.045/12,$K$9,-$C$33)),IF(AND($D$8=Variables!$B$5,$D$19="NO",$D$12="SI",$D$13="SI",B91&gt;12),(PMT(0.06/12,$K$9,-$C$45)-PMT(0.045/12,$K$9,-$C$45)),IF(AND($D$8=Variables!$B$4,$D$12="SI",$D$19="NO",$D$13="SI",$D$15="NO",B91&gt;18),(PMT(0.06/12,$K$9,-$C$51)-PMT(0.045/12,$K$9,-$C$51)),IF(AND($D$8=Variables!$B$4,$D$12="SI",$D$19="NO",$D$13="SI",$D$15="SI",B91&gt;24),(PMT(0.06/12,$K$9,-$C$57)-PMT(0.045/12,$K$9,-$C$57)),0))))</f>
        <v>111.43825839224587</v>
      </c>
      <c r="G91" s="14">
        <f>+IF($D$8=Variables!$B$6,0.21*IPMT('Sim Reg N° 800'!$D$18,'Sim Reg N° 800'!B91,'Sim Reg N° 800'!$K$9,-'Sim Reg N° 800'!$J$10),0)+F91*0.21</f>
        <v>23.402034262371632</v>
      </c>
      <c r="H91" s="14">
        <f t="shared" si="2"/>
        <v>742.86266444567445</v>
      </c>
      <c r="I91" s="14">
        <f t="shared" si="7"/>
        <v>0</v>
      </c>
      <c r="J91" s="14">
        <f t="shared" si="3"/>
        <v>742.86266444567445</v>
      </c>
      <c r="K91" s="26">
        <f t="shared" si="4"/>
        <v>222.85879933370234</v>
      </c>
      <c r="L91" s="21"/>
      <c r="M91" s="19"/>
      <c r="R91" s="20"/>
    </row>
    <row r="92" spans="1:18" hidden="1" x14ac:dyDescent="0.2">
      <c r="A92" s="7"/>
      <c r="B92" s="42">
        <v>59</v>
      </c>
      <c r="C92" s="14">
        <f t="shared" si="1"/>
        <v>109586.57331750233</v>
      </c>
      <c r="D92" s="14">
        <f>IF($D$8=Variables!$B$3,PPMT($D$18,B92,$K$9,-$J$10),IF($D$8=Variables!$B$6,PPMT($D$18,B92,$K$9,-$J$10),IF($D$8=Variables!$B$5,PPMT($D$18,B92-12,$K$9-12,-$C$45),IF(AND($D$8=Variables!$B$4,$D$15="si"),0,PPMT($D$18,B92-18,$K$9-18,-$J$10-SUM($L$34:$L$51))))))+IF(AND($D$8=Variables!$B$4,'Sim Reg N° 800'!$D$15="SI"),PPMT($D$18,B92-24,$K$9-24,-$J$10-SUM($M$34:$M$57)))</f>
        <v>196.3364601249545</v>
      </c>
      <c r="E92" s="14">
        <f>IF($D$8=Variables!$B$3,IPMT($D$18,B92,$K$9,-$J$10),IF($D$8=Variables!$B$6,IPMT($D$18,B92,$K$9,-$J$10),IF($D$8=Variables!$B$5,IPMT($D$18,B92-12,$K$9-12,-$C$45),IF(AND($D$8=Variables!$B$4,$D$15="si"),0,IPMT($D$18,B92-18,$K$9-18,-$J$10-SUM($L$34:$L$51))))))+IF(AND($D$8=Variables!$B$4,'Sim Reg N° 800'!$D$15="SI"),IPMT($D$18,B92-24,$K$9-24,-$J$10-SUM($M$34:$M$57)))</f>
        <v>411.68591166610241</v>
      </c>
      <c r="F92" s="14">
        <f>IF(AND($D$8=Variables!$B$3,$D$12="SI",$D$19="NO",$D$13="SI",B92&gt;=7),(PMT(0.06/12,$K$9,-$C$33)-PMT(0.045/12,$K$9,-$C$33)),IF(AND($D$8=Variables!$B$5,$D$19="NO",$D$12="SI",$D$13="SI",B92&gt;12),(PMT(0.06/12,$K$9,-$C$45)-PMT(0.045/12,$K$9,-$C$45)),IF(AND($D$8=Variables!$B$4,$D$12="SI",$D$19="NO",$D$13="SI",$D$15="NO",B92&gt;18),(PMT(0.06/12,$K$9,-$C$51)-PMT(0.045/12,$K$9,-$C$51)),IF(AND($D$8=Variables!$B$4,$D$12="SI",$D$19="NO",$D$13="SI",$D$15="SI",B92&gt;24),(PMT(0.06/12,$K$9,-$C$57)-PMT(0.045/12,$K$9,-$C$57)),0))))</f>
        <v>111.43825839224587</v>
      </c>
      <c r="G92" s="14">
        <f>+IF($D$8=Variables!$B$6,0.21*IPMT('Sim Reg N° 800'!$D$18,'Sim Reg N° 800'!B92,'Sim Reg N° 800'!$K$9,-'Sim Reg N° 800'!$J$10),0)+F92*0.21</f>
        <v>23.402034262371632</v>
      </c>
      <c r="H92" s="14">
        <f t="shared" si="2"/>
        <v>742.86266444567445</v>
      </c>
      <c r="I92" s="14">
        <f t="shared" si="7"/>
        <v>0</v>
      </c>
      <c r="J92" s="14">
        <f t="shared" si="3"/>
        <v>742.86266444567445</v>
      </c>
      <c r="K92" s="26">
        <f t="shared" si="4"/>
        <v>222.85879933370234</v>
      </c>
      <c r="L92" s="21"/>
      <c r="M92" s="19"/>
      <c r="R92" s="20"/>
    </row>
    <row r="93" spans="1:18" hidden="1" x14ac:dyDescent="0.2">
      <c r="A93" s="7"/>
      <c r="B93" s="42">
        <v>60</v>
      </c>
      <c r="C93" s="14">
        <f t="shared" si="1"/>
        <v>109389.50059565192</v>
      </c>
      <c r="D93" s="14">
        <f>IF($D$8=Variables!$B$3,PPMT($D$18,B93,$K$9,-$J$10),IF($D$8=Variables!$B$6,PPMT($D$18,B93,$K$9,-$J$10),IF($D$8=Variables!$B$5,PPMT($D$18,B93-12,$K$9-12,-$C$45),IF(AND($D$8=Variables!$B$4,$D$15="si"),0,PPMT($D$18,B93-18,$K$9-18,-$J$10-SUM($L$34:$L$51))))))+IF(AND($D$8=Variables!$B$4,'Sim Reg N° 800'!$D$15="SI"),PPMT($D$18,B93-24,$K$9-24,-$J$10-SUM($M$34:$M$57)))</f>
        <v>197.07272185042308</v>
      </c>
      <c r="E93" s="14">
        <f>IF($D$8=Variables!$B$3,IPMT($D$18,B93,$K$9,-$J$10),IF($D$8=Variables!$B$6,IPMT($D$18,B93,$K$9,-$J$10),IF($D$8=Variables!$B$5,IPMT($D$18,B93-12,$K$9-12,-$C$45),IF(AND($D$8=Variables!$B$4,$D$15="si"),0,IPMT($D$18,B93-18,$K$9-18,-$J$10-SUM($L$34:$L$51))))))+IF(AND($D$8=Variables!$B$4,'Sim Reg N° 800'!$D$15="SI"),IPMT($D$18,B93-24,$K$9-24,-$J$10-SUM($M$34:$M$57)))</f>
        <v>410.94964994063372</v>
      </c>
      <c r="F93" s="14">
        <f>IF(AND($D$8=Variables!$B$3,$D$12="SI",$D$19="NO",$D$13="SI",B93&gt;=7),(PMT(0.06/12,$K$9,-$C$33)-PMT(0.045/12,$K$9,-$C$33)),IF(AND($D$8=Variables!$B$5,$D$19="NO",$D$12="SI",$D$13="SI",B93&gt;12),(PMT(0.06/12,$K$9,-$C$45)-PMT(0.045/12,$K$9,-$C$45)),IF(AND($D$8=Variables!$B$4,$D$12="SI",$D$19="NO",$D$13="SI",$D$15="NO",B93&gt;18),(PMT(0.06/12,$K$9,-$C$51)-PMT(0.045/12,$K$9,-$C$51)),IF(AND($D$8=Variables!$B$4,$D$12="SI",$D$19="NO",$D$13="SI",$D$15="SI",B93&gt;24),(PMT(0.06/12,$K$9,-$C$57)-PMT(0.045/12,$K$9,-$C$57)),0))))</f>
        <v>111.43825839224587</v>
      </c>
      <c r="G93" s="14">
        <f>+IF($D$8=Variables!$B$6,0.21*IPMT('Sim Reg N° 800'!$D$18,'Sim Reg N° 800'!B93,'Sim Reg N° 800'!$K$9,-'Sim Reg N° 800'!$J$10),0)+F93*0.21</f>
        <v>23.402034262371632</v>
      </c>
      <c r="H93" s="14">
        <f t="shared" si="2"/>
        <v>742.86266444567423</v>
      </c>
      <c r="I93" s="14">
        <f t="shared" si="7"/>
        <v>0</v>
      </c>
      <c r="J93" s="14">
        <f t="shared" si="3"/>
        <v>742.86266444567423</v>
      </c>
      <c r="K93" s="26">
        <f t="shared" si="4"/>
        <v>222.85879933370225</v>
      </c>
      <c r="L93" s="21"/>
      <c r="M93" s="19"/>
      <c r="R93" s="20"/>
    </row>
    <row r="94" spans="1:18" hidden="1" x14ac:dyDescent="0.2">
      <c r="A94" s="7"/>
      <c r="B94" s="42">
        <v>61</v>
      </c>
      <c r="C94" s="14">
        <f t="shared" ref="C94:C157" si="8">+IF(B94&gt;$K$9,"",(C93-D94))</f>
        <v>109191.68885109456</v>
      </c>
      <c r="D94" s="14">
        <f>IF(B94&gt;$K$9,"",IF($D$8=Variables!$B$3,PPMT($D$18,B94,$K$9,-$J$10),IF($D$8=Variables!$B$6,PPMT($D$18,B94,$K$9,-$J$10),IF($D$8=Variables!$B$5,PPMT($D$18,B94-12,$K$9-12,-$C$45),IF(AND($D$8=Variables!$B$4,$D$15="si"),0,PPMT($D$18,B94-18,$K$9-18,-$J$10-SUM($L$34:$L$51))))))+IF(AND($D$8=Variables!$B$4,'Sim Reg N° 800'!$D$15="SI"),PPMT($D$18,B94-24,$K$9-24,-$J$10-SUM($M$34:$M$57))))</f>
        <v>197.81174455736215</v>
      </c>
      <c r="E94" s="14">
        <f>IF(B94&gt;$K$9,"",IF($D$8=Variables!$B$3,IPMT($D$18,B94,$K$9,-$J$10),IF($D$8=Variables!$B$6,IPMT($D$18,B94,$K$9,-$J$10),IF($D$8=Variables!$B$5,IPMT($D$18,B94-12,$K$9-12,-$C$45),IF(AND($D$8=Variables!$B$4,$D$15="si"),0,IPMT($D$18,B94-18,$K$9-18,-$J$10-SUM($L$34:$L$51))))))+IF(AND($D$8=Variables!$B$4,'Sim Reg N° 800'!$D$15="SI"),IPMT($D$18,B94-24,$K$9-24,-$J$10-SUM($M$34:$M$57))))</f>
        <v>410.21062723369471</v>
      </c>
      <c r="F94" s="14">
        <f>IF(B94&gt;$K$9,"",IF(AND($D$8=Variables!$B$3,$D$12="SI",$D$19="NO",$D$13="SI",B94&gt;=7),(PMT(0.06/12,$K$9,-$C$33)-PMT(0.045/12,$K$9,-$C$33)),IF(AND($D$8=Variables!$B$5,$D$19="NO",$D$12="SI",$D$13="SI",B94&gt;12),(PMT(0.06/12,$K$9,-$C$45)-PMT(0.045/12,$K$9,-$C$45)),IF(AND($D$8=Variables!$B$4,$D$12="SI",$D$19="NO",$D$13="SI",$D$15="NO",B94&gt;18),(PMT(0.06/12,$K$9,-$C$51)-PMT(0.045/12,$K$9,-$C$51)),IF(AND($D$8=Variables!$B$4,$D$12="SI",$D$19="NO",$D$13="SI",$D$15="SI",B94&gt;24),(PMT(0.06/12,$K$9,-$C$57)-PMT(0.045/12,$K$9,-$C$57)),0)))))</f>
        <v>111.43825839224587</v>
      </c>
      <c r="G94" s="14">
        <f>+IF(B94&gt;$K$9,"",IF($D$8=Variables!$B$6,0.21*IPMT('Sim Reg N° 800'!$D$18,'Sim Reg N° 800'!B94,'Sim Reg N° 800'!$K$9,-'Sim Reg N° 800'!$J$10),0))+F94*0.21</f>
        <v>23.402034262371632</v>
      </c>
      <c r="H94" s="14">
        <f>IF(B94&gt;$K$9,"",(G94+E94+D94+F94))</f>
        <v>742.86266444567434</v>
      </c>
      <c r="I94" s="14">
        <f t="shared" ref="I94:I157" si="9">+IF(B94&gt;$K$9,"",I82)</f>
        <v>95.999999999999986</v>
      </c>
      <c r="J94" s="14">
        <f t="shared" ref="J94:J157" si="10">+IF(B94&gt;$K$9,"",I94+H94)</f>
        <v>838.86266444567434</v>
      </c>
      <c r="K94" s="26">
        <f t="shared" si="4"/>
        <v>251.65879933370229</v>
      </c>
      <c r="L94" s="21"/>
      <c r="M94" s="19"/>
      <c r="R94" s="20"/>
    </row>
    <row r="95" spans="1:18" hidden="1" x14ac:dyDescent="0.2">
      <c r="A95" s="7"/>
      <c r="B95" s="42">
        <v>62</v>
      </c>
      <c r="C95" s="14">
        <f t="shared" si="8"/>
        <v>108993.1353124951</v>
      </c>
      <c r="D95" s="14">
        <f>IF(B95&gt;$K$9,"",IF($D$8=Variables!$B$3,PPMT($D$18,B95,$K$9,-$J$10),IF($D$8=Variables!$B$6,PPMT($D$18,B95,$K$9,-$J$10),IF($D$8=Variables!$B$5,PPMT($D$18,B95-12,$K$9-12,-$C$45),IF(AND($D$8=Variables!$B$4,$D$15="si"),0,PPMT($D$18,B95-18,$K$9-18,-$J$10-SUM($L$34:$L$51))))))+IF(AND($D$8=Variables!$B$4,'Sim Reg N° 800'!$D$15="SI"),PPMT($D$18,B95-24,$K$9-24,-$J$10-SUM($M$34:$M$57))))</f>
        <v>198.55353859945225</v>
      </c>
      <c r="E95" s="14">
        <f>IF(B95&gt;$K$9,"",IF($D$8=Variables!$B$3,IPMT($D$18,B95,$K$9,-$J$10),IF($D$8=Variables!$B$6,IPMT($D$18,B95,$K$9,-$J$10),IF($D$8=Variables!$B$5,IPMT($D$18,B95-12,$K$9-12,-$C$45),IF(AND($D$8=Variables!$B$4,$D$15="si"),0,IPMT($D$18,B95-18,$K$9-18,-$J$10-SUM($L$34:$L$51))))))+IF(AND($D$8=Variables!$B$4,'Sim Reg N° 800'!$D$15="SI"),IPMT($D$18,B95-24,$K$9-24,-$J$10-SUM($M$34:$M$57))))</f>
        <v>409.46883319160457</v>
      </c>
      <c r="F95" s="14">
        <f>IF(B95&gt;$K$9,"",IF(AND($D$8=Variables!$B$3,$D$12="SI",$D$19="NO",$D$13="SI",B95&gt;=7),(PMT(0.06/12,$K$9,-$C$33)-PMT(0.045/12,$K$9,-$C$33)),IF(AND($D$8=Variables!$B$5,$D$19="NO",$D$12="SI",$D$13="SI",B95&gt;12),(PMT(0.06/12,$K$9,-$C$45)-PMT(0.045/12,$K$9,-$C$45)),IF(AND($D$8=Variables!$B$4,$D$12="SI",$D$19="NO",$D$13="SI",$D$15="NO",B95&gt;18),(PMT(0.06/12,$K$9,-$C$51)-PMT(0.045/12,$K$9,-$C$51)),IF(AND($D$8=Variables!$B$4,$D$12="SI",$D$19="NO",$D$13="SI",$D$15="SI",B95&gt;24),(PMT(0.06/12,$K$9,-$C$57)-PMT(0.045/12,$K$9,-$C$57)),0)))))</f>
        <v>111.43825839224587</v>
      </c>
      <c r="G95" s="14">
        <f>+IF(B95&gt;$K$9,"",IF($D$8=Variables!$B$6,0.21*IPMT('Sim Reg N° 800'!$D$18,'Sim Reg N° 800'!B95,'Sim Reg N° 800'!$K$9,-'Sim Reg N° 800'!$J$10),0))+F95*0.21</f>
        <v>23.402034262371632</v>
      </c>
      <c r="H95" s="14">
        <f t="shared" ref="H95:H158" si="11">IF(B95&gt;$K$9,"",(G95+E95+D95+F95))</f>
        <v>742.86266444567434</v>
      </c>
      <c r="I95" s="14">
        <f t="shared" si="9"/>
        <v>0</v>
      </c>
      <c r="J95" s="14">
        <f t="shared" si="10"/>
        <v>742.86266444567434</v>
      </c>
      <c r="K95" s="26">
        <f t="shared" si="4"/>
        <v>222.85879933370231</v>
      </c>
      <c r="L95" s="21"/>
      <c r="M95" s="19"/>
      <c r="R95" s="20"/>
    </row>
    <row r="96" spans="1:18" hidden="1" x14ac:dyDescent="0.2">
      <c r="A96" s="7"/>
      <c r="B96" s="42">
        <v>63</v>
      </c>
      <c r="C96" s="14">
        <f t="shared" si="8"/>
        <v>108793.8371981259</v>
      </c>
      <c r="D96" s="14">
        <f>IF(B96&gt;$K$9,"",IF($D$8=Variables!$B$3,PPMT($D$18,B96,$K$9,-$J$10),IF($D$8=Variables!$B$6,PPMT($D$18,B96,$K$9,-$J$10),IF($D$8=Variables!$B$5,PPMT($D$18,B96-12,$K$9-12,-$C$45),IF(AND($D$8=Variables!$B$4,$D$15="si"),0,PPMT($D$18,B96-18,$K$9-18,-$J$10-SUM($L$34:$L$51))))))+IF(AND($D$8=Variables!$B$4,'Sim Reg N° 800'!$D$15="SI"),PPMT($D$18,B96-24,$K$9-24,-$J$10-SUM($M$34:$M$57))))</f>
        <v>199.29811436920022</v>
      </c>
      <c r="E96" s="14">
        <f>IF(B96&gt;$K$9,"",IF($D$8=Variables!$B$3,IPMT($D$18,B96,$K$9,-$J$10),IF($D$8=Variables!$B$6,IPMT($D$18,B96,$K$9,-$J$10),IF($D$8=Variables!$B$5,IPMT($D$18,B96-12,$K$9-12,-$C$45),IF(AND($D$8=Variables!$B$4,$D$15="si"),0,IPMT($D$18,B96-18,$K$9-18,-$J$10-SUM($L$34:$L$51))))))+IF(AND($D$8=Variables!$B$4,'Sim Reg N° 800'!$D$15="SI"),IPMT($D$18,B96-24,$K$9-24,-$J$10-SUM($M$34:$M$57))))</f>
        <v>408.72425742185663</v>
      </c>
      <c r="F96" s="14">
        <f>IF(B96&gt;$K$9,"",IF(AND($D$8=Variables!$B$3,$D$12="SI",$D$19="NO",$D$13="SI",B96&gt;=7),(PMT(0.06/12,$K$9,-$C$33)-PMT(0.045/12,$K$9,-$C$33)),IF(AND($D$8=Variables!$B$5,$D$19="NO",$D$12="SI",$D$13="SI",B96&gt;12),(PMT(0.06/12,$K$9,-$C$45)-PMT(0.045/12,$K$9,-$C$45)),IF(AND($D$8=Variables!$B$4,$D$12="SI",$D$19="NO",$D$13="SI",$D$15="NO",B96&gt;18),(PMT(0.06/12,$K$9,-$C$51)-PMT(0.045/12,$K$9,-$C$51)),IF(AND($D$8=Variables!$B$4,$D$12="SI",$D$19="NO",$D$13="SI",$D$15="SI",B96&gt;24),(PMT(0.06/12,$K$9,-$C$57)-PMT(0.045/12,$K$9,-$C$57)),0)))))</f>
        <v>111.43825839224587</v>
      </c>
      <c r="G96" s="14">
        <f>+IF(B96&gt;$K$9,"",IF($D$8=Variables!$B$6,0.21*IPMT('Sim Reg N° 800'!$D$18,'Sim Reg N° 800'!B96,'Sim Reg N° 800'!$K$9,-'Sim Reg N° 800'!$J$10),0))+F96*0.21</f>
        <v>23.402034262371632</v>
      </c>
      <c r="H96" s="14">
        <f t="shared" si="11"/>
        <v>742.86266444567434</v>
      </c>
      <c r="I96" s="14">
        <f t="shared" si="9"/>
        <v>0</v>
      </c>
      <c r="J96" s="14">
        <f t="shared" si="10"/>
        <v>742.86266444567434</v>
      </c>
      <c r="K96" s="26">
        <f t="shared" si="4"/>
        <v>222.85879933370231</v>
      </c>
      <c r="L96" s="21"/>
      <c r="M96" s="19"/>
      <c r="R96" s="20"/>
    </row>
    <row r="97" spans="1:18" hidden="1" x14ac:dyDescent="0.2">
      <c r="A97" s="7"/>
      <c r="B97" s="42">
        <v>64</v>
      </c>
      <c r="C97" s="14">
        <f t="shared" si="8"/>
        <v>108593.79171582781</v>
      </c>
      <c r="D97" s="14">
        <f>IF(B97&gt;$K$9,"",IF($D$8=Variables!$B$3,PPMT($D$18,B97,$K$9,-$J$10),IF($D$8=Variables!$B$6,PPMT($D$18,B97,$K$9,-$J$10),IF($D$8=Variables!$B$5,PPMT($D$18,B97-12,$K$9-12,-$C$45),IF(AND($D$8=Variables!$B$4,$D$15="si"),0,PPMT($D$18,B97-18,$K$9-18,-$J$10-SUM($L$34:$L$51))))))+IF(AND($D$8=Variables!$B$4,'Sim Reg N° 800'!$D$15="SI"),PPMT($D$18,B97-24,$K$9-24,-$J$10-SUM($M$34:$M$57))))</f>
        <v>200.04548229808469</v>
      </c>
      <c r="E97" s="14">
        <f>IF(B97&gt;$K$9,"",IF($D$8=Variables!$B$3,IPMT($D$18,B97,$K$9,-$J$10),IF($D$8=Variables!$B$6,IPMT($D$18,B97,$K$9,-$J$10),IF($D$8=Variables!$B$5,IPMT($D$18,B97-12,$K$9-12,-$C$45),IF(AND($D$8=Variables!$B$4,$D$15="si"),0,IPMT($D$18,B97-18,$K$9-18,-$J$10-SUM($L$34:$L$51))))))+IF(AND($D$8=Variables!$B$4,'Sim Reg N° 800'!$D$15="SI"),IPMT($D$18,B97-24,$K$9-24,-$J$10-SUM($M$34:$M$57))))</f>
        <v>407.97688949297213</v>
      </c>
      <c r="F97" s="14">
        <f>IF(B97&gt;$K$9,"",IF(AND($D$8=Variables!$B$3,$D$12="SI",$D$19="NO",$D$13="SI",B97&gt;=7),(PMT(0.06/12,$K$9,-$C$33)-PMT(0.045/12,$K$9,-$C$33)),IF(AND($D$8=Variables!$B$5,$D$19="NO",$D$12="SI",$D$13="SI",B97&gt;12),(PMT(0.06/12,$K$9,-$C$45)-PMT(0.045/12,$K$9,-$C$45)),IF(AND($D$8=Variables!$B$4,$D$12="SI",$D$19="NO",$D$13="SI",$D$15="NO",B97&gt;18),(PMT(0.06/12,$K$9,-$C$51)-PMT(0.045/12,$K$9,-$C$51)),IF(AND($D$8=Variables!$B$4,$D$12="SI",$D$19="NO",$D$13="SI",$D$15="SI",B97&gt;24),(PMT(0.06/12,$K$9,-$C$57)-PMT(0.045/12,$K$9,-$C$57)),0)))))</f>
        <v>111.43825839224587</v>
      </c>
      <c r="G97" s="14">
        <f>+IF(B97&gt;$K$9,"",IF($D$8=Variables!$B$6,0.21*IPMT('Sim Reg N° 800'!$D$18,'Sim Reg N° 800'!B97,'Sim Reg N° 800'!$K$9,-'Sim Reg N° 800'!$J$10),0))+F97*0.21</f>
        <v>23.402034262371632</v>
      </c>
      <c r="H97" s="14">
        <f t="shared" si="11"/>
        <v>742.86266444567434</v>
      </c>
      <c r="I97" s="14">
        <f t="shared" si="9"/>
        <v>0</v>
      </c>
      <c r="J97" s="14">
        <f t="shared" si="10"/>
        <v>742.86266444567434</v>
      </c>
      <c r="K97" s="26">
        <f t="shared" si="4"/>
        <v>222.85879933370231</v>
      </c>
      <c r="L97" s="21"/>
      <c r="M97" s="19"/>
      <c r="R97" s="20"/>
    </row>
    <row r="98" spans="1:18" hidden="1" x14ac:dyDescent="0.2">
      <c r="A98" s="7"/>
      <c r="B98" s="42">
        <v>65</v>
      </c>
      <c r="C98" s="14">
        <f t="shared" si="8"/>
        <v>108392.99606297111</v>
      </c>
      <c r="D98" s="14">
        <f>IF(B98&gt;$K$9,"",IF($D$8=Variables!$B$3,PPMT($D$18,B98,$K$9,-$J$10),IF($D$8=Variables!$B$6,PPMT($D$18,B98,$K$9,-$J$10),IF($D$8=Variables!$B$5,PPMT($D$18,B98-12,$K$9-12,-$C$45),IF(AND($D$8=Variables!$B$4,$D$15="si"),0,PPMT($D$18,B98-18,$K$9-18,-$J$10-SUM($L$34:$L$51))))))+IF(AND($D$8=Variables!$B$4,'Sim Reg N° 800'!$D$15="SI"),PPMT($D$18,B98-24,$K$9-24,-$J$10-SUM($M$34:$M$57))))</f>
        <v>200.7956528567025</v>
      </c>
      <c r="E98" s="14">
        <f>IF(B98&gt;$K$9,"",IF($D$8=Variables!$B$3,IPMT($D$18,B98,$K$9,-$J$10),IF($D$8=Variables!$B$6,IPMT($D$18,B98,$K$9,-$J$10),IF($D$8=Variables!$B$5,IPMT($D$18,B98-12,$K$9-12,-$C$45),IF(AND($D$8=Variables!$B$4,$D$15="si"),0,IPMT($D$18,B98-18,$K$9-18,-$J$10-SUM($L$34:$L$51))))))+IF(AND($D$8=Variables!$B$4,'Sim Reg N° 800'!$D$15="SI"),IPMT($D$18,B98-24,$K$9-24,-$J$10-SUM($M$34:$M$57))))</f>
        <v>407.22671893435432</v>
      </c>
      <c r="F98" s="14">
        <f>IF(B98&gt;$K$9,"",IF(AND($D$8=Variables!$B$3,$D$12="SI",$D$19="NO",$D$13="SI",B98&gt;=7),(PMT(0.06/12,$K$9,-$C$33)-PMT(0.045/12,$K$9,-$C$33)),IF(AND($D$8=Variables!$B$5,$D$19="NO",$D$12="SI",$D$13="SI",B98&gt;12),(PMT(0.06/12,$K$9,-$C$45)-PMT(0.045/12,$K$9,-$C$45)),IF(AND($D$8=Variables!$B$4,$D$12="SI",$D$19="NO",$D$13="SI",$D$15="NO",B98&gt;18),(PMT(0.06/12,$K$9,-$C$51)-PMT(0.045/12,$K$9,-$C$51)),IF(AND($D$8=Variables!$B$4,$D$12="SI",$D$19="NO",$D$13="SI",$D$15="SI",B98&gt;24),(PMT(0.06/12,$K$9,-$C$57)-PMT(0.045/12,$K$9,-$C$57)),0)))))</f>
        <v>111.43825839224587</v>
      </c>
      <c r="G98" s="14">
        <f>+IF(B98&gt;$K$9,"",IF($D$8=Variables!$B$6,0.21*IPMT('Sim Reg N° 800'!$D$18,'Sim Reg N° 800'!B98,'Sim Reg N° 800'!$K$9,-'Sim Reg N° 800'!$J$10),0))+F98*0.21</f>
        <v>23.402034262371632</v>
      </c>
      <c r="H98" s="14">
        <f t="shared" si="11"/>
        <v>742.86266444567434</v>
      </c>
      <c r="I98" s="14">
        <f t="shared" si="9"/>
        <v>0</v>
      </c>
      <c r="J98" s="14">
        <f t="shared" si="10"/>
        <v>742.86266444567434</v>
      </c>
      <c r="K98" s="26">
        <f t="shared" si="4"/>
        <v>222.85879933370231</v>
      </c>
      <c r="L98" s="21"/>
      <c r="M98" s="19"/>
      <c r="R98" s="20"/>
    </row>
    <row r="99" spans="1:18" hidden="1" x14ac:dyDescent="0.2">
      <c r="A99" s="7"/>
      <c r="B99" s="42">
        <v>66</v>
      </c>
      <c r="C99" s="14">
        <f t="shared" si="8"/>
        <v>108191.4474264162</v>
      </c>
      <c r="D99" s="14">
        <f>IF(B99&gt;$K$9,"",IF($D$8=Variables!$B$3,PPMT($D$18,B99,$K$9,-$J$10),IF($D$8=Variables!$B$6,PPMT($D$18,B99,$K$9,-$J$10),IF($D$8=Variables!$B$5,PPMT($D$18,B99-12,$K$9-12,-$C$45),IF(AND($D$8=Variables!$B$4,$D$15="si"),0,PPMT($D$18,B99-18,$K$9-18,-$J$10-SUM($L$34:$L$51))))))+IF(AND($D$8=Variables!$B$4,'Sim Reg N° 800'!$D$15="SI"),PPMT($D$18,B99-24,$K$9-24,-$J$10-SUM($M$34:$M$57))))</f>
        <v>201.54863655491519</v>
      </c>
      <c r="E99" s="14">
        <f>IF(B99&gt;$K$9,"",IF($D$8=Variables!$B$3,IPMT($D$18,B99,$K$9,-$J$10),IF($D$8=Variables!$B$6,IPMT($D$18,B99,$K$9,-$J$10),IF($D$8=Variables!$B$5,IPMT($D$18,B99-12,$K$9-12,-$C$45),IF(AND($D$8=Variables!$B$4,$D$15="si"),0,IPMT($D$18,B99-18,$K$9-18,-$J$10-SUM($L$34:$L$51))))))+IF(AND($D$8=Variables!$B$4,'Sim Reg N° 800'!$D$15="SI"),IPMT($D$18,B99-24,$K$9-24,-$J$10-SUM($M$34:$M$57))))</f>
        <v>406.47373523614164</v>
      </c>
      <c r="F99" s="14">
        <f>IF(B99&gt;$K$9,"",IF(AND($D$8=Variables!$B$3,$D$12="SI",$D$19="NO",$D$13="SI",B99&gt;=7),(PMT(0.06/12,$K$9,-$C$33)-PMT(0.045/12,$K$9,-$C$33)),IF(AND($D$8=Variables!$B$5,$D$19="NO",$D$12="SI",$D$13="SI",B99&gt;12),(PMT(0.06/12,$K$9,-$C$45)-PMT(0.045/12,$K$9,-$C$45)),IF(AND($D$8=Variables!$B$4,$D$12="SI",$D$19="NO",$D$13="SI",$D$15="NO",B99&gt;18),(PMT(0.06/12,$K$9,-$C$51)-PMT(0.045/12,$K$9,-$C$51)),IF(AND($D$8=Variables!$B$4,$D$12="SI",$D$19="NO",$D$13="SI",$D$15="SI",B99&gt;24),(PMT(0.06/12,$K$9,-$C$57)-PMT(0.045/12,$K$9,-$C$57)),0)))))</f>
        <v>111.43825839224587</v>
      </c>
      <c r="G99" s="14">
        <f>+IF(B99&gt;$K$9,"",IF($D$8=Variables!$B$6,0.21*IPMT('Sim Reg N° 800'!$D$18,'Sim Reg N° 800'!B99,'Sim Reg N° 800'!$K$9,-'Sim Reg N° 800'!$J$10),0))+F99*0.21</f>
        <v>23.402034262371632</v>
      </c>
      <c r="H99" s="14">
        <f t="shared" si="11"/>
        <v>742.86266444567434</v>
      </c>
      <c r="I99" s="14">
        <f t="shared" si="9"/>
        <v>0</v>
      </c>
      <c r="J99" s="14">
        <f t="shared" si="10"/>
        <v>742.86266444567434</v>
      </c>
      <c r="K99" s="26">
        <f t="shared" ref="K99:K162" si="12">+IF(J99="","",J99*0.3)</f>
        <v>222.85879933370231</v>
      </c>
      <c r="L99" s="21"/>
      <c r="M99" s="19"/>
      <c r="R99" s="20"/>
    </row>
    <row r="100" spans="1:18" hidden="1" x14ac:dyDescent="0.2">
      <c r="A100" s="7"/>
      <c r="B100" s="42">
        <v>67</v>
      </c>
      <c r="C100" s="14">
        <f t="shared" si="8"/>
        <v>107989.14298247421</v>
      </c>
      <c r="D100" s="14">
        <f>IF(B100&gt;$K$9,"",IF($D$8=Variables!$B$3,PPMT($D$18,B100,$K$9,-$J$10),IF($D$8=Variables!$B$6,PPMT($D$18,B100,$K$9,-$J$10),IF($D$8=Variables!$B$5,PPMT($D$18,B100-12,$K$9-12,-$C$45),IF(AND($D$8=Variables!$B$4,$D$15="si"),0,PPMT($D$18,B100-18,$K$9-18,-$J$10-SUM($L$34:$L$51))))))+IF(AND($D$8=Variables!$B$4,'Sim Reg N° 800'!$D$15="SI"),PPMT($D$18,B100-24,$K$9-24,-$J$10-SUM($M$34:$M$57))))</f>
        <v>202.30444394199608</v>
      </c>
      <c r="E100" s="14">
        <f>IF(B100&gt;$K$9,"",IF($D$8=Variables!$B$3,IPMT($D$18,B100,$K$9,-$J$10),IF($D$8=Variables!$B$6,IPMT($D$18,B100,$K$9,-$J$10),IF($D$8=Variables!$B$5,IPMT($D$18,B100-12,$K$9-12,-$C$45),IF(AND($D$8=Variables!$B$4,$D$15="si"),0,IPMT($D$18,B100-18,$K$9-18,-$J$10-SUM($L$34:$L$51))))))+IF(AND($D$8=Variables!$B$4,'Sim Reg N° 800'!$D$15="SI"),IPMT($D$18,B100-24,$K$9-24,-$J$10-SUM($M$34:$M$57))))</f>
        <v>405.7179278490608</v>
      </c>
      <c r="F100" s="14">
        <f>IF(B100&gt;$K$9,"",IF(AND($D$8=Variables!$B$3,$D$12="SI",$D$19="NO",$D$13="SI",B100&gt;=7),(PMT(0.06/12,$K$9,-$C$33)-PMT(0.045/12,$K$9,-$C$33)),IF(AND($D$8=Variables!$B$5,$D$19="NO",$D$12="SI",$D$13="SI",B100&gt;12),(PMT(0.06/12,$K$9,-$C$45)-PMT(0.045/12,$K$9,-$C$45)),IF(AND($D$8=Variables!$B$4,$D$12="SI",$D$19="NO",$D$13="SI",$D$15="NO",B100&gt;18),(PMT(0.06/12,$K$9,-$C$51)-PMT(0.045/12,$K$9,-$C$51)),IF(AND($D$8=Variables!$B$4,$D$12="SI",$D$19="NO",$D$13="SI",$D$15="SI",B100&gt;24),(PMT(0.06/12,$K$9,-$C$57)-PMT(0.045/12,$K$9,-$C$57)),0)))))</f>
        <v>111.43825839224587</v>
      </c>
      <c r="G100" s="14">
        <f>+IF(B100&gt;$K$9,"",IF($D$8=Variables!$B$6,0.21*IPMT('Sim Reg N° 800'!$D$18,'Sim Reg N° 800'!B100,'Sim Reg N° 800'!$K$9,-'Sim Reg N° 800'!$J$10),0))+F100*0.21</f>
        <v>23.402034262371632</v>
      </c>
      <c r="H100" s="14">
        <f t="shared" si="11"/>
        <v>742.86266444567434</v>
      </c>
      <c r="I100" s="14">
        <f t="shared" si="9"/>
        <v>0</v>
      </c>
      <c r="J100" s="14">
        <f t="shared" si="10"/>
        <v>742.86266444567434</v>
      </c>
      <c r="K100" s="26">
        <f t="shared" si="12"/>
        <v>222.85879933370231</v>
      </c>
      <c r="L100" s="21"/>
      <c r="M100" s="19"/>
      <c r="R100" s="20"/>
    </row>
    <row r="101" spans="1:18" hidden="1" x14ac:dyDescent="0.2">
      <c r="A101" s="7"/>
      <c r="B101" s="42">
        <v>68</v>
      </c>
      <c r="C101" s="14">
        <f t="shared" si="8"/>
        <v>107786.07989686744</v>
      </c>
      <c r="D101" s="14">
        <f>IF(B101&gt;$K$9,"",IF($D$8=Variables!$B$3,PPMT($D$18,B101,$K$9,-$J$10),IF($D$8=Variables!$B$6,PPMT($D$18,B101,$K$9,-$J$10),IF($D$8=Variables!$B$5,PPMT($D$18,B101-12,$K$9-12,-$C$45),IF(AND($D$8=Variables!$B$4,$D$15="si"),0,PPMT($D$18,B101-18,$K$9-18,-$J$10-SUM($L$34:$L$51))))))+IF(AND($D$8=Variables!$B$4,'Sim Reg N° 800'!$D$15="SI"),PPMT($D$18,B101-24,$K$9-24,-$J$10-SUM($M$34:$M$57))))</f>
        <v>203.06308560677857</v>
      </c>
      <c r="E101" s="14">
        <f>IF(B101&gt;$K$9,"",IF($D$8=Variables!$B$3,IPMT($D$18,B101,$K$9,-$J$10),IF($D$8=Variables!$B$6,IPMT($D$18,B101,$K$9,-$J$10),IF($D$8=Variables!$B$5,IPMT($D$18,B101-12,$K$9-12,-$C$45),IF(AND($D$8=Variables!$B$4,$D$15="si"),0,IPMT($D$18,B101-18,$K$9-18,-$J$10-SUM($L$34:$L$51))))))+IF(AND($D$8=Variables!$B$4,'Sim Reg N° 800'!$D$15="SI"),IPMT($D$18,B101-24,$K$9-24,-$J$10-SUM($M$34:$M$57))))</f>
        <v>404.95928618427826</v>
      </c>
      <c r="F101" s="14">
        <f>IF(B101&gt;$K$9,"",IF(AND($D$8=Variables!$B$3,$D$12="SI",$D$19="NO",$D$13="SI",B101&gt;=7),(PMT(0.06/12,$K$9,-$C$33)-PMT(0.045/12,$K$9,-$C$33)),IF(AND($D$8=Variables!$B$5,$D$19="NO",$D$12="SI",$D$13="SI",B101&gt;12),(PMT(0.06/12,$K$9,-$C$45)-PMT(0.045/12,$K$9,-$C$45)),IF(AND($D$8=Variables!$B$4,$D$12="SI",$D$19="NO",$D$13="SI",$D$15="NO",B101&gt;18),(PMT(0.06/12,$K$9,-$C$51)-PMT(0.045/12,$K$9,-$C$51)),IF(AND($D$8=Variables!$B$4,$D$12="SI",$D$19="NO",$D$13="SI",$D$15="SI",B101&gt;24),(PMT(0.06/12,$K$9,-$C$57)-PMT(0.045/12,$K$9,-$C$57)),0)))))</f>
        <v>111.43825839224587</v>
      </c>
      <c r="G101" s="14">
        <f>+IF(B101&gt;$K$9,"",IF($D$8=Variables!$B$6,0.21*IPMT('Sim Reg N° 800'!$D$18,'Sim Reg N° 800'!B101,'Sim Reg N° 800'!$K$9,-'Sim Reg N° 800'!$J$10),0))+F101*0.21</f>
        <v>23.402034262371632</v>
      </c>
      <c r="H101" s="14">
        <f t="shared" si="11"/>
        <v>742.86266444567434</v>
      </c>
      <c r="I101" s="14">
        <f t="shared" si="9"/>
        <v>0</v>
      </c>
      <c r="J101" s="14">
        <f t="shared" si="10"/>
        <v>742.86266444567434</v>
      </c>
      <c r="K101" s="26">
        <f t="shared" si="12"/>
        <v>222.85879933370231</v>
      </c>
      <c r="L101" s="21"/>
      <c r="M101" s="19"/>
      <c r="R101" s="20"/>
    </row>
    <row r="102" spans="1:18" hidden="1" x14ac:dyDescent="0.2">
      <c r="A102" s="7"/>
      <c r="B102" s="42">
        <v>69</v>
      </c>
      <c r="C102" s="14">
        <f t="shared" si="8"/>
        <v>107582.25532468963</v>
      </c>
      <c r="D102" s="14">
        <f>IF(B102&gt;$K$9,"",IF($D$8=Variables!$B$3,PPMT($D$18,B102,$K$9,-$J$10),IF($D$8=Variables!$B$6,PPMT($D$18,B102,$K$9,-$J$10),IF($D$8=Variables!$B$5,PPMT($D$18,B102-12,$K$9-12,-$C$45),IF(AND($D$8=Variables!$B$4,$D$15="si"),0,PPMT($D$18,B102-18,$K$9-18,-$J$10-SUM($L$34:$L$51))))))+IF(AND($D$8=Variables!$B$4,'Sim Reg N° 800'!$D$15="SI"),PPMT($D$18,B102-24,$K$9-24,-$J$10-SUM($M$34:$M$57))))</f>
        <v>203.82457217780401</v>
      </c>
      <c r="E102" s="14">
        <f>IF(B102&gt;$K$9,"",IF($D$8=Variables!$B$3,IPMT($D$18,B102,$K$9,-$J$10),IF($D$8=Variables!$B$6,IPMT($D$18,B102,$K$9,-$J$10),IF($D$8=Variables!$B$5,IPMT($D$18,B102-12,$K$9-12,-$C$45),IF(AND($D$8=Variables!$B$4,$D$15="si"),0,IPMT($D$18,B102-18,$K$9-18,-$J$10-SUM($L$34:$L$51))))))+IF(AND($D$8=Variables!$B$4,'Sim Reg N° 800'!$D$15="SI"),IPMT($D$18,B102-24,$K$9-24,-$J$10-SUM($M$34:$M$57))))</f>
        <v>404.19779961325281</v>
      </c>
      <c r="F102" s="14">
        <f>IF(B102&gt;$K$9,"",IF(AND($D$8=Variables!$B$3,$D$12="SI",$D$19="NO",$D$13="SI",B102&gt;=7),(PMT(0.06/12,$K$9,-$C$33)-PMT(0.045/12,$K$9,-$C$33)),IF(AND($D$8=Variables!$B$5,$D$19="NO",$D$12="SI",$D$13="SI",B102&gt;12),(PMT(0.06/12,$K$9,-$C$45)-PMT(0.045/12,$K$9,-$C$45)),IF(AND($D$8=Variables!$B$4,$D$12="SI",$D$19="NO",$D$13="SI",$D$15="NO",B102&gt;18),(PMT(0.06/12,$K$9,-$C$51)-PMT(0.045/12,$K$9,-$C$51)),IF(AND($D$8=Variables!$B$4,$D$12="SI",$D$19="NO",$D$13="SI",$D$15="SI",B102&gt;24),(PMT(0.06/12,$K$9,-$C$57)-PMT(0.045/12,$K$9,-$C$57)),0)))))</f>
        <v>111.43825839224587</v>
      </c>
      <c r="G102" s="14">
        <f>+IF(B102&gt;$K$9,"",IF($D$8=Variables!$B$6,0.21*IPMT('Sim Reg N° 800'!$D$18,'Sim Reg N° 800'!B102,'Sim Reg N° 800'!$K$9,-'Sim Reg N° 800'!$J$10),0))+F102*0.21</f>
        <v>23.402034262371632</v>
      </c>
      <c r="H102" s="14">
        <f t="shared" si="11"/>
        <v>742.86266444567434</v>
      </c>
      <c r="I102" s="14">
        <f t="shared" si="9"/>
        <v>0</v>
      </c>
      <c r="J102" s="14">
        <f t="shared" si="10"/>
        <v>742.86266444567434</v>
      </c>
      <c r="K102" s="26">
        <f t="shared" si="12"/>
        <v>222.85879933370231</v>
      </c>
      <c r="L102" s="21"/>
      <c r="M102" s="19"/>
      <c r="R102" s="20"/>
    </row>
    <row r="103" spans="1:18" hidden="1" x14ac:dyDescent="0.2">
      <c r="A103" s="7"/>
      <c r="B103" s="42">
        <v>70</v>
      </c>
      <c r="C103" s="14">
        <f t="shared" si="8"/>
        <v>107377.66641036616</v>
      </c>
      <c r="D103" s="14">
        <f>IF(B103&gt;$K$9,"",IF($D$8=Variables!$B$3,PPMT($D$18,B103,$K$9,-$J$10),IF($D$8=Variables!$B$6,PPMT($D$18,B103,$K$9,-$J$10),IF($D$8=Variables!$B$5,PPMT($D$18,B103-12,$K$9-12,-$C$45),IF(AND($D$8=Variables!$B$4,$D$15="si"),0,PPMT($D$18,B103-18,$K$9-18,-$J$10-SUM($L$34:$L$51))))))+IF(AND($D$8=Variables!$B$4,'Sim Reg N° 800'!$D$15="SI"),PPMT($D$18,B103-24,$K$9-24,-$J$10-SUM($M$34:$M$57))))</f>
        <v>204.58891432347076</v>
      </c>
      <c r="E103" s="14">
        <f>IF(B103&gt;$K$9,"",IF($D$8=Variables!$B$3,IPMT($D$18,B103,$K$9,-$J$10),IF($D$8=Variables!$B$6,IPMT($D$18,B103,$K$9,-$J$10),IF($D$8=Variables!$B$5,IPMT($D$18,B103-12,$K$9-12,-$C$45),IF(AND($D$8=Variables!$B$4,$D$15="si"),0,IPMT($D$18,B103-18,$K$9-18,-$J$10-SUM($L$34:$L$51))))))+IF(AND($D$8=Variables!$B$4,'Sim Reg N° 800'!$D$15="SI"),IPMT($D$18,B103-24,$K$9-24,-$J$10-SUM($M$34:$M$57))))</f>
        <v>403.43345746758609</v>
      </c>
      <c r="F103" s="14">
        <f>IF(B103&gt;$K$9,"",IF(AND($D$8=Variables!$B$3,$D$12="SI",$D$19="NO",$D$13="SI",B103&gt;=7),(PMT(0.06/12,$K$9,-$C$33)-PMT(0.045/12,$K$9,-$C$33)),IF(AND($D$8=Variables!$B$5,$D$19="NO",$D$12="SI",$D$13="SI",B103&gt;12),(PMT(0.06/12,$K$9,-$C$45)-PMT(0.045/12,$K$9,-$C$45)),IF(AND($D$8=Variables!$B$4,$D$12="SI",$D$19="NO",$D$13="SI",$D$15="NO",B103&gt;18),(PMT(0.06/12,$K$9,-$C$51)-PMT(0.045/12,$K$9,-$C$51)),IF(AND($D$8=Variables!$B$4,$D$12="SI",$D$19="NO",$D$13="SI",$D$15="SI",B103&gt;24),(PMT(0.06/12,$K$9,-$C$57)-PMT(0.045/12,$K$9,-$C$57)),0)))))</f>
        <v>111.43825839224587</v>
      </c>
      <c r="G103" s="14">
        <f>+IF(B103&gt;$K$9,"",IF($D$8=Variables!$B$6,0.21*IPMT('Sim Reg N° 800'!$D$18,'Sim Reg N° 800'!B103,'Sim Reg N° 800'!$K$9,-'Sim Reg N° 800'!$J$10),0))+F103*0.21</f>
        <v>23.402034262371632</v>
      </c>
      <c r="H103" s="14">
        <f t="shared" si="11"/>
        <v>742.86266444567434</v>
      </c>
      <c r="I103" s="14">
        <f t="shared" si="9"/>
        <v>0</v>
      </c>
      <c r="J103" s="14">
        <f t="shared" si="10"/>
        <v>742.86266444567434</v>
      </c>
      <c r="K103" s="26">
        <f t="shared" si="12"/>
        <v>222.85879933370231</v>
      </c>
      <c r="L103" s="21"/>
      <c r="M103" s="19"/>
      <c r="R103" s="20"/>
    </row>
    <row r="104" spans="1:18" hidden="1" x14ac:dyDescent="0.2">
      <c r="A104" s="7"/>
      <c r="B104" s="42">
        <v>71</v>
      </c>
      <c r="C104" s="14">
        <f t="shared" si="8"/>
        <v>107172.31028761397</v>
      </c>
      <c r="D104" s="14">
        <f>IF(B104&gt;$K$9,"",IF($D$8=Variables!$B$3,PPMT($D$18,B104,$K$9,-$J$10),IF($D$8=Variables!$B$6,PPMT($D$18,B104,$K$9,-$J$10),IF($D$8=Variables!$B$5,PPMT($D$18,B104-12,$K$9-12,-$C$45),IF(AND($D$8=Variables!$B$4,$D$15="si"),0,PPMT($D$18,B104-18,$K$9-18,-$J$10-SUM($L$34:$L$51))))))+IF(AND($D$8=Variables!$B$4,'Sim Reg N° 800'!$D$15="SI"),PPMT($D$18,B104-24,$K$9-24,-$J$10-SUM($M$34:$M$57))))</f>
        <v>205.35612275218378</v>
      </c>
      <c r="E104" s="14">
        <f>IF(B104&gt;$K$9,"",IF($D$8=Variables!$B$3,IPMT($D$18,B104,$K$9,-$J$10),IF($D$8=Variables!$B$6,IPMT($D$18,B104,$K$9,-$J$10),IF($D$8=Variables!$B$5,IPMT($D$18,B104-12,$K$9-12,-$C$45),IF(AND($D$8=Variables!$B$4,$D$15="si"),0,IPMT($D$18,B104-18,$K$9-18,-$J$10-SUM($L$34:$L$51))))))+IF(AND($D$8=Variables!$B$4,'Sim Reg N° 800'!$D$15="SI"),IPMT($D$18,B104-24,$K$9-24,-$J$10-SUM($M$34:$M$57))))</f>
        <v>402.6662490388731</v>
      </c>
      <c r="F104" s="14">
        <f>IF(B104&gt;$K$9,"",IF(AND($D$8=Variables!$B$3,$D$12="SI",$D$19="NO",$D$13="SI",B104&gt;=7),(PMT(0.06/12,$K$9,-$C$33)-PMT(0.045/12,$K$9,-$C$33)),IF(AND($D$8=Variables!$B$5,$D$19="NO",$D$12="SI",$D$13="SI",B104&gt;12),(PMT(0.06/12,$K$9,-$C$45)-PMT(0.045/12,$K$9,-$C$45)),IF(AND($D$8=Variables!$B$4,$D$12="SI",$D$19="NO",$D$13="SI",$D$15="NO",B104&gt;18),(PMT(0.06/12,$K$9,-$C$51)-PMT(0.045/12,$K$9,-$C$51)),IF(AND($D$8=Variables!$B$4,$D$12="SI",$D$19="NO",$D$13="SI",$D$15="SI",B104&gt;24),(PMT(0.06/12,$K$9,-$C$57)-PMT(0.045/12,$K$9,-$C$57)),0)))))</f>
        <v>111.43825839224587</v>
      </c>
      <c r="G104" s="14">
        <f>+IF(B104&gt;$K$9,"",IF($D$8=Variables!$B$6,0.21*IPMT('Sim Reg N° 800'!$D$18,'Sim Reg N° 800'!B104,'Sim Reg N° 800'!$K$9,-'Sim Reg N° 800'!$J$10),0))+F104*0.21</f>
        <v>23.402034262371632</v>
      </c>
      <c r="H104" s="14">
        <f t="shared" si="11"/>
        <v>742.86266444567434</v>
      </c>
      <c r="I104" s="14">
        <f t="shared" si="9"/>
        <v>0</v>
      </c>
      <c r="J104" s="14">
        <f t="shared" si="10"/>
        <v>742.86266444567434</v>
      </c>
      <c r="K104" s="26">
        <f t="shared" si="12"/>
        <v>222.85879933370231</v>
      </c>
      <c r="L104" s="21"/>
      <c r="M104" s="19"/>
      <c r="R104" s="20"/>
    </row>
    <row r="105" spans="1:18" hidden="1" x14ac:dyDescent="0.2">
      <c r="A105" s="7"/>
      <c r="B105" s="42">
        <v>72</v>
      </c>
      <c r="C105" s="14">
        <f t="shared" si="8"/>
        <v>106966.18407940147</v>
      </c>
      <c r="D105" s="14">
        <f>IF(B105&gt;$K$9,"",IF($D$8=Variables!$B$3,PPMT($D$18,B105,$K$9,-$J$10),IF($D$8=Variables!$B$6,PPMT($D$18,B105,$K$9,-$J$10),IF($D$8=Variables!$B$5,PPMT($D$18,B105-12,$K$9-12,-$C$45),IF(AND($D$8=Variables!$B$4,$D$15="si"),0,PPMT($D$18,B105-18,$K$9-18,-$J$10-SUM($L$34:$L$51))))))+IF(AND($D$8=Variables!$B$4,'Sim Reg N° 800'!$D$15="SI"),PPMT($D$18,B105-24,$K$9-24,-$J$10-SUM($M$34:$M$57))))</f>
        <v>206.12620821250445</v>
      </c>
      <c r="E105" s="14">
        <f>IF(B105&gt;$K$9,"",IF($D$8=Variables!$B$3,IPMT($D$18,B105,$K$9,-$J$10),IF($D$8=Variables!$B$6,IPMT($D$18,B105,$K$9,-$J$10),IF($D$8=Variables!$B$5,IPMT($D$18,B105-12,$K$9-12,-$C$45),IF(AND($D$8=Variables!$B$4,$D$15="si"),0,IPMT($D$18,B105-18,$K$9-18,-$J$10-SUM($L$34:$L$51))))))+IF(AND($D$8=Variables!$B$4,'Sim Reg N° 800'!$D$15="SI"),IPMT($D$18,B105-24,$K$9-24,-$J$10-SUM($M$34:$M$57))))</f>
        <v>401.89616357855232</v>
      </c>
      <c r="F105" s="14">
        <f>IF(B105&gt;$K$9,"",IF(AND($D$8=Variables!$B$3,$D$12="SI",$D$19="NO",$D$13="SI",B105&gt;=7),(PMT(0.06/12,$K$9,-$C$33)-PMT(0.045/12,$K$9,-$C$33)),IF(AND($D$8=Variables!$B$5,$D$19="NO",$D$12="SI",$D$13="SI",B105&gt;12),(PMT(0.06/12,$K$9,-$C$45)-PMT(0.045/12,$K$9,-$C$45)),IF(AND($D$8=Variables!$B$4,$D$12="SI",$D$19="NO",$D$13="SI",$D$15="NO",B105&gt;18),(PMT(0.06/12,$K$9,-$C$51)-PMT(0.045/12,$K$9,-$C$51)),IF(AND($D$8=Variables!$B$4,$D$12="SI",$D$19="NO",$D$13="SI",$D$15="SI",B105&gt;24),(PMT(0.06/12,$K$9,-$C$57)-PMT(0.045/12,$K$9,-$C$57)),0)))))</f>
        <v>111.43825839224587</v>
      </c>
      <c r="G105" s="14">
        <f>+IF(B105&gt;$K$9,"",IF($D$8=Variables!$B$6,0.21*IPMT('Sim Reg N° 800'!$D$18,'Sim Reg N° 800'!B105,'Sim Reg N° 800'!$K$9,-'Sim Reg N° 800'!$J$10),0))+F105*0.21</f>
        <v>23.402034262371632</v>
      </c>
      <c r="H105" s="14">
        <f t="shared" si="11"/>
        <v>742.86266444567423</v>
      </c>
      <c r="I105" s="14">
        <f t="shared" si="9"/>
        <v>0</v>
      </c>
      <c r="J105" s="14">
        <f t="shared" si="10"/>
        <v>742.86266444567423</v>
      </c>
      <c r="K105" s="26">
        <f t="shared" si="12"/>
        <v>222.85879933370225</v>
      </c>
      <c r="L105" s="21"/>
      <c r="M105" s="19"/>
      <c r="R105" s="20"/>
    </row>
    <row r="106" spans="1:18" hidden="1" x14ac:dyDescent="0.2">
      <c r="A106" s="7"/>
      <c r="B106" s="42">
        <v>73</v>
      </c>
      <c r="C106" s="14">
        <f t="shared" si="8"/>
        <v>106759.28489790818</v>
      </c>
      <c r="D106" s="14">
        <f>IF(B106&gt;$K$9,"",IF($D$8=Variables!$B$3,PPMT($D$18,B106,$K$9,-$J$10),IF($D$8=Variables!$B$6,PPMT($D$18,B106,$K$9,-$J$10),IF($D$8=Variables!$B$5,PPMT($D$18,B106-12,$K$9-12,-$C$45),IF(AND($D$8=Variables!$B$4,$D$15="si"),0,PPMT($D$18,B106-18,$K$9-18,-$J$10-SUM($L$34:$L$51))))))+IF(AND($D$8=Variables!$B$4,'Sim Reg N° 800'!$D$15="SI"),PPMT($D$18,B106-24,$K$9-24,-$J$10-SUM($M$34:$M$57))))</f>
        <v>206.89918149330134</v>
      </c>
      <c r="E106" s="14">
        <f>IF(B106&gt;$K$9,"",IF($D$8=Variables!$B$3,IPMT($D$18,B106,$K$9,-$J$10),IF($D$8=Variables!$B$6,IPMT($D$18,B106,$K$9,-$J$10),IF($D$8=Variables!$B$5,IPMT($D$18,B106-12,$K$9-12,-$C$45),IF(AND($D$8=Variables!$B$4,$D$15="si"),0,IPMT($D$18,B106-18,$K$9-18,-$J$10-SUM($L$34:$L$51))))))+IF(AND($D$8=Variables!$B$4,'Sim Reg N° 800'!$D$15="SI"),IPMT($D$18,B106-24,$K$9-24,-$J$10-SUM($M$34:$M$57))))</f>
        <v>401.12319029775551</v>
      </c>
      <c r="F106" s="14">
        <f>IF(B106&gt;$K$9,"",IF(AND($D$8=Variables!$B$3,$D$12="SI",$D$19="NO",$D$13="SI",B106&gt;=7),(PMT(0.06/12,$K$9,-$C$33)-PMT(0.045/12,$K$9,-$C$33)),IF(AND($D$8=Variables!$B$5,$D$19="NO",$D$12="SI",$D$13="SI",B106&gt;12),(PMT(0.06/12,$K$9,-$C$45)-PMT(0.045/12,$K$9,-$C$45)),IF(AND($D$8=Variables!$B$4,$D$12="SI",$D$19="NO",$D$13="SI",$D$15="NO",B106&gt;18),(PMT(0.06/12,$K$9,-$C$51)-PMT(0.045/12,$K$9,-$C$51)),IF(AND($D$8=Variables!$B$4,$D$12="SI",$D$19="NO",$D$13="SI",$D$15="SI",B106&gt;24),(PMT(0.06/12,$K$9,-$C$57)-PMT(0.045/12,$K$9,-$C$57)),0)))))</f>
        <v>111.43825839224587</v>
      </c>
      <c r="G106" s="14">
        <f>+IF(B106&gt;$K$9,"",IF($D$8=Variables!$B$6,0.21*IPMT('Sim Reg N° 800'!$D$18,'Sim Reg N° 800'!B106,'Sim Reg N° 800'!$K$9,-'Sim Reg N° 800'!$J$10),0))+F106*0.21</f>
        <v>23.402034262371632</v>
      </c>
      <c r="H106" s="14">
        <f t="shared" si="11"/>
        <v>742.86266444567434</v>
      </c>
      <c r="I106" s="14">
        <f t="shared" si="9"/>
        <v>95.999999999999986</v>
      </c>
      <c r="J106" s="14">
        <f t="shared" si="10"/>
        <v>838.86266444567434</v>
      </c>
      <c r="K106" s="26">
        <f t="shared" si="12"/>
        <v>251.65879933370229</v>
      </c>
      <c r="L106" s="21"/>
      <c r="M106" s="19"/>
      <c r="R106" s="20"/>
    </row>
    <row r="107" spans="1:18" hidden="1" x14ac:dyDescent="0.2">
      <c r="A107" s="7"/>
      <c r="B107" s="42">
        <v>74</v>
      </c>
      <c r="C107" s="14">
        <f t="shared" si="8"/>
        <v>106551.60984448428</v>
      </c>
      <c r="D107" s="14">
        <f>IF(B107&gt;$K$9,"",IF($D$8=Variables!$B$3,PPMT($D$18,B107,$K$9,-$J$10),IF($D$8=Variables!$B$6,PPMT($D$18,B107,$K$9,-$J$10),IF($D$8=Variables!$B$5,PPMT($D$18,B107-12,$K$9-12,-$C$45),IF(AND($D$8=Variables!$B$4,$D$15="si"),0,PPMT($D$18,B107-18,$K$9-18,-$J$10-SUM($L$34:$L$51))))))+IF(AND($D$8=Variables!$B$4,'Sim Reg N° 800'!$D$15="SI"),PPMT($D$18,B107-24,$K$9-24,-$J$10-SUM($M$34:$M$57))))</f>
        <v>207.67505342390126</v>
      </c>
      <c r="E107" s="14">
        <f>IF(B107&gt;$K$9,"",IF($D$8=Variables!$B$3,IPMT($D$18,B107,$K$9,-$J$10),IF($D$8=Variables!$B$6,IPMT($D$18,B107,$K$9,-$J$10),IF($D$8=Variables!$B$5,IPMT($D$18,B107-12,$K$9-12,-$C$45),IF(AND($D$8=Variables!$B$4,$D$15="si"),0,IPMT($D$18,B107-18,$K$9-18,-$J$10-SUM($L$34:$L$51))))))+IF(AND($D$8=Variables!$B$4,'Sim Reg N° 800'!$D$15="SI"),IPMT($D$18,B107-24,$K$9-24,-$J$10-SUM($M$34:$M$57))))</f>
        <v>400.34731836715559</v>
      </c>
      <c r="F107" s="14">
        <f>IF(B107&gt;$K$9,"",IF(AND($D$8=Variables!$B$3,$D$12="SI",$D$19="NO",$D$13="SI",B107&gt;=7),(PMT(0.06/12,$K$9,-$C$33)-PMT(0.045/12,$K$9,-$C$33)),IF(AND($D$8=Variables!$B$5,$D$19="NO",$D$12="SI",$D$13="SI",B107&gt;12),(PMT(0.06/12,$K$9,-$C$45)-PMT(0.045/12,$K$9,-$C$45)),IF(AND($D$8=Variables!$B$4,$D$12="SI",$D$19="NO",$D$13="SI",$D$15="NO",B107&gt;18),(PMT(0.06/12,$K$9,-$C$51)-PMT(0.045/12,$K$9,-$C$51)),IF(AND($D$8=Variables!$B$4,$D$12="SI",$D$19="NO",$D$13="SI",$D$15="SI",B107&gt;24),(PMT(0.06/12,$K$9,-$C$57)-PMT(0.045/12,$K$9,-$C$57)),0)))))</f>
        <v>111.43825839224587</v>
      </c>
      <c r="G107" s="14">
        <f>+IF(B107&gt;$K$9,"",IF($D$8=Variables!$B$6,0.21*IPMT('Sim Reg N° 800'!$D$18,'Sim Reg N° 800'!B107,'Sim Reg N° 800'!$K$9,-'Sim Reg N° 800'!$J$10),0))+F107*0.21</f>
        <v>23.402034262371632</v>
      </c>
      <c r="H107" s="14">
        <f t="shared" si="11"/>
        <v>742.86266444567434</v>
      </c>
      <c r="I107" s="14">
        <f t="shared" si="9"/>
        <v>0</v>
      </c>
      <c r="J107" s="14">
        <f t="shared" si="10"/>
        <v>742.86266444567434</v>
      </c>
      <c r="K107" s="26">
        <f t="shared" si="12"/>
        <v>222.85879933370231</v>
      </c>
      <c r="L107" s="21"/>
      <c r="M107" s="19"/>
      <c r="R107" s="20"/>
    </row>
    <row r="108" spans="1:18" hidden="1" x14ac:dyDescent="0.2">
      <c r="A108" s="7"/>
      <c r="B108" s="42">
        <v>75</v>
      </c>
      <c r="C108" s="14">
        <f t="shared" si="8"/>
        <v>106343.15600961004</v>
      </c>
      <c r="D108" s="14">
        <f>IF(B108&gt;$K$9,"",IF($D$8=Variables!$B$3,PPMT($D$18,B108,$K$9,-$J$10),IF($D$8=Variables!$B$6,PPMT($D$18,B108,$K$9,-$J$10),IF($D$8=Variables!$B$5,PPMT($D$18,B108-12,$K$9-12,-$C$45),IF(AND($D$8=Variables!$B$4,$D$15="si"),0,PPMT($D$18,B108-18,$K$9-18,-$J$10-SUM($L$34:$L$51))))))+IF(AND($D$8=Variables!$B$4,'Sim Reg N° 800'!$D$15="SI"),PPMT($D$18,B108-24,$K$9-24,-$J$10-SUM($M$34:$M$57))))</f>
        <v>208.45383487424084</v>
      </c>
      <c r="E108" s="14">
        <f>IF(B108&gt;$K$9,"",IF($D$8=Variables!$B$3,IPMT($D$18,B108,$K$9,-$J$10),IF($D$8=Variables!$B$6,IPMT($D$18,B108,$K$9,-$J$10),IF($D$8=Variables!$B$5,IPMT($D$18,B108-12,$K$9-12,-$C$45),IF(AND($D$8=Variables!$B$4,$D$15="si"),0,IPMT($D$18,B108-18,$K$9-18,-$J$10-SUM($L$34:$L$51))))))+IF(AND($D$8=Variables!$B$4,'Sim Reg N° 800'!$D$15="SI"),IPMT($D$18,B108-24,$K$9-24,-$J$10-SUM($M$34:$M$57))))</f>
        <v>399.56853691681596</v>
      </c>
      <c r="F108" s="14">
        <f>IF(B108&gt;$K$9,"",IF(AND($D$8=Variables!$B$3,$D$12="SI",$D$19="NO",$D$13="SI",B108&gt;=7),(PMT(0.06/12,$K$9,-$C$33)-PMT(0.045/12,$K$9,-$C$33)),IF(AND($D$8=Variables!$B$5,$D$19="NO",$D$12="SI",$D$13="SI",B108&gt;12),(PMT(0.06/12,$K$9,-$C$45)-PMT(0.045/12,$K$9,-$C$45)),IF(AND($D$8=Variables!$B$4,$D$12="SI",$D$19="NO",$D$13="SI",$D$15="NO",B108&gt;18),(PMT(0.06/12,$K$9,-$C$51)-PMT(0.045/12,$K$9,-$C$51)),IF(AND($D$8=Variables!$B$4,$D$12="SI",$D$19="NO",$D$13="SI",$D$15="SI",B108&gt;24),(PMT(0.06/12,$K$9,-$C$57)-PMT(0.045/12,$K$9,-$C$57)),0)))))</f>
        <v>111.43825839224587</v>
      </c>
      <c r="G108" s="14">
        <f>+IF(B108&gt;$K$9,"",IF($D$8=Variables!$B$6,0.21*IPMT('Sim Reg N° 800'!$D$18,'Sim Reg N° 800'!B108,'Sim Reg N° 800'!$K$9,-'Sim Reg N° 800'!$J$10),0))+F108*0.21</f>
        <v>23.402034262371632</v>
      </c>
      <c r="H108" s="14">
        <f t="shared" si="11"/>
        <v>742.86266444567423</v>
      </c>
      <c r="I108" s="14">
        <f t="shared" si="9"/>
        <v>0</v>
      </c>
      <c r="J108" s="14">
        <f t="shared" si="10"/>
        <v>742.86266444567423</v>
      </c>
      <c r="K108" s="26">
        <f t="shared" si="12"/>
        <v>222.85879933370225</v>
      </c>
      <c r="L108" s="21"/>
      <c r="M108" s="19"/>
      <c r="R108" s="20"/>
    </row>
    <row r="109" spans="1:18" hidden="1" x14ac:dyDescent="0.2">
      <c r="A109" s="7"/>
      <c r="B109" s="42">
        <v>76</v>
      </c>
      <c r="C109" s="14">
        <f t="shared" si="8"/>
        <v>106133.92047285502</v>
      </c>
      <c r="D109" s="14">
        <f>IF(B109&gt;$K$9,"",IF($D$8=Variables!$B$3,PPMT($D$18,B109,$K$9,-$J$10),IF($D$8=Variables!$B$6,PPMT($D$18,B109,$K$9,-$J$10),IF($D$8=Variables!$B$5,PPMT($D$18,B109-12,$K$9-12,-$C$45),IF(AND($D$8=Variables!$B$4,$D$15="si"),0,PPMT($D$18,B109-18,$K$9-18,-$J$10-SUM($L$34:$L$51))))))+IF(AND($D$8=Variables!$B$4,'Sim Reg N° 800'!$D$15="SI"),PPMT($D$18,B109-24,$K$9-24,-$J$10-SUM($M$34:$M$57))))</f>
        <v>209.23553675501927</v>
      </c>
      <c r="E109" s="14">
        <f>IF(B109&gt;$K$9,"",IF($D$8=Variables!$B$3,IPMT($D$18,B109,$K$9,-$J$10),IF($D$8=Variables!$B$6,IPMT($D$18,B109,$K$9,-$J$10),IF($D$8=Variables!$B$5,IPMT($D$18,B109-12,$K$9-12,-$C$45),IF(AND($D$8=Variables!$B$4,$D$15="si"),0,IPMT($D$18,B109-18,$K$9-18,-$J$10-SUM($L$34:$L$51))))))+IF(AND($D$8=Variables!$B$4,'Sim Reg N° 800'!$D$15="SI"),IPMT($D$18,B109-24,$K$9-24,-$J$10-SUM($M$34:$M$57))))</f>
        <v>398.78683503603759</v>
      </c>
      <c r="F109" s="14">
        <f>IF(B109&gt;$K$9,"",IF(AND($D$8=Variables!$B$3,$D$12="SI",$D$19="NO",$D$13="SI",B109&gt;=7),(PMT(0.06/12,$K$9,-$C$33)-PMT(0.045/12,$K$9,-$C$33)),IF(AND($D$8=Variables!$B$5,$D$19="NO",$D$12="SI",$D$13="SI",B109&gt;12),(PMT(0.06/12,$K$9,-$C$45)-PMT(0.045/12,$K$9,-$C$45)),IF(AND($D$8=Variables!$B$4,$D$12="SI",$D$19="NO",$D$13="SI",$D$15="NO",B109&gt;18),(PMT(0.06/12,$K$9,-$C$51)-PMT(0.045/12,$K$9,-$C$51)),IF(AND($D$8=Variables!$B$4,$D$12="SI",$D$19="NO",$D$13="SI",$D$15="SI",B109&gt;24),(PMT(0.06/12,$K$9,-$C$57)-PMT(0.045/12,$K$9,-$C$57)),0)))))</f>
        <v>111.43825839224587</v>
      </c>
      <c r="G109" s="14">
        <f>+IF(B109&gt;$K$9,"",IF($D$8=Variables!$B$6,0.21*IPMT('Sim Reg N° 800'!$D$18,'Sim Reg N° 800'!B109,'Sim Reg N° 800'!$K$9,-'Sim Reg N° 800'!$J$10),0))+F109*0.21</f>
        <v>23.402034262371632</v>
      </c>
      <c r="H109" s="14">
        <f t="shared" si="11"/>
        <v>742.86266444567434</v>
      </c>
      <c r="I109" s="14">
        <f t="shared" si="9"/>
        <v>0</v>
      </c>
      <c r="J109" s="14">
        <f t="shared" si="10"/>
        <v>742.86266444567434</v>
      </c>
      <c r="K109" s="26">
        <f t="shared" si="12"/>
        <v>222.85879933370231</v>
      </c>
      <c r="L109" s="21"/>
      <c r="M109" s="19"/>
      <c r="R109" s="20"/>
    </row>
    <row r="110" spans="1:18" hidden="1" x14ac:dyDescent="0.2">
      <c r="A110" s="7"/>
      <c r="B110" s="42">
        <v>77</v>
      </c>
      <c r="C110" s="14">
        <f t="shared" si="8"/>
        <v>105923.90030283718</v>
      </c>
      <c r="D110" s="14">
        <f>IF(B110&gt;$K$9,"",IF($D$8=Variables!$B$3,PPMT($D$18,B110,$K$9,-$J$10),IF($D$8=Variables!$B$6,PPMT($D$18,B110,$K$9,-$J$10),IF($D$8=Variables!$B$5,PPMT($D$18,B110-12,$K$9-12,-$C$45),IF(AND($D$8=Variables!$B$4,$D$15="si"),0,PPMT($D$18,B110-18,$K$9-18,-$J$10-SUM($L$34:$L$51))))))+IF(AND($D$8=Variables!$B$4,'Sim Reg N° 800'!$D$15="SI"),PPMT($D$18,B110-24,$K$9-24,-$J$10-SUM($M$34:$M$57))))</f>
        <v>210.0201700178506</v>
      </c>
      <c r="E110" s="14">
        <f>IF(B110&gt;$K$9,"",IF($D$8=Variables!$B$3,IPMT($D$18,B110,$K$9,-$J$10),IF($D$8=Variables!$B$6,IPMT($D$18,B110,$K$9,-$J$10),IF($D$8=Variables!$B$5,IPMT($D$18,B110-12,$K$9-12,-$C$45),IF(AND($D$8=Variables!$B$4,$D$15="si"),0,IPMT($D$18,B110-18,$K$9-18,-$J$10-SUM($L$34:$L$51))))))+IF(AND($D$8=Variables!$B$4,'Sim Reg N° 800'!$D$15="SI"),IPMT($D$18,B110-24,$K$9-24,-$J$10-SUM($M$34:$M$57))))</f>
        <v>398.0022017732062</v>
      </c>
      <c r="F110" s="14">
        <f>IF(B110&gt;$K$9,"",IF(AND($D$8=Variables!$B$3,$D$12="SI",$D$19="NO",$D$13="SI",B110&gt;=7),(PMT(0.06/12,$K$9,-$C$33)-PMT(0.045/12,$K$9,-$C$33)),IF(AND($D$8=Variables!$B$5,$D$19="NO",$D$12="SI",$D$13="SI",B110&gt;12),(PMT(0.06/12,$K$9,-$C$45)-PMT(0.045/12,$K$9,-$C$45)),IF(AND($D$8=Variables!$B$4,$D$12="SI",$D$19="NO",$D$13="SI",$D$15="NO",B110&gt;18),(PMT(0.06/12,$K$9,-$C$51)-PMT(0.045/12,$K$9,-$C$51)),IF(AND($D$8=Variables!$B$4,$D$12="SI",$D$19="NO",$D$13="SI",$D$15="SI",B110&gt;24),(PMT(0.06/12,$K$9,-$C$57)-PMT(0.045/12,$K$9,-$C$57)),0)))))</f>
        <v>111.43825839224587</v>
      </c>
      <c r="G110" s="14">
        <f>+IF(B110&gt;$K$9,"",IF($D$8=Variables!$B$6,0.21*IPMT('Sim Reg N° 800'!$D$18,'Sim Reg N° 800'!B110,'Sim Reg N° 800'!$K$9,-'Sim Reg N° 800'!$J$10),0))+F110*0.21</f>
        <v>23.402034262371632</v>
      </c>
      <c r="H110" s="14">
        <f t="shared" si="11"/>
        <v>742.86266444567423</v>
      </c>
      <c r="I110" s="14">
        <f t="shared" si="9"/>
        <v>0</v>
      </c>
      <c r="J110" s="14">
        <f t="shared" si="10"/>
        <v>742.86266444567423</v>
      </c>
      <c r="K110" s="26">
        <f t="shared" si="12"/>
        <v>222.85879933370225</v>
      </c>
      <c r="L110" s="21"/>
      <c r="M110" s="19"/>
      <c r="R110" s="20"/>
    </row>
    <row r="111" spans="1:18" hidden="1" x14ac:dyDescent="0.2">
      <c r="A111" s="7"/>
      <c r="B111" s="42">
        <v>78</v>
      </c>
      <c r="C111" s="14">
        <f t="shared" si="8"/>
        <v>105713.09255718176</v>
      </c>
      <c r="D111" s="14">
        <f>IF(B111&gt;$K$9,"",IF($D$8=Variables!$B$3,PPMT($D$18,B111,$K$9,-$J$10),IF($D$8=Variables!$B$6,PPMT($D$18,B111,$K$9,-$J$10),IF($D$8=Variables!$B$5,PPMT($D$18,B111-12,$K$9-12,-$C$45),IF(AND($D$8=Variables!$B$4,$D$15="si"),0,PPMT($D$18,B111-18,$K$9-18,-$J$10-SUM($L$34:$L$51))))))+IF(AND($D$8=Variables!$B$4,'Sim Reg N° 800'!$D$15="SI"),PPMT($D$18,B111-24,$K$9-24,-$J$10-SUM($M$34:$M$57))))</f>
        <v>210.80774565541751</v>
      </c>
      <c r="E111" s="14">
        <f>IF(B111&gt;$K$9,"",IF($D$8=Variables!$B$3,IPMT($D$18,B111,$K$9,-$J$10),IF($D$8=Variables!$B$6,IPMT($D$18,B111,$K$9,-$J$10),IF($D$8=Variables!$B$5,IPMT($D$18,B111-12,$K$9-12,-$C$45),IF(AND($D$8=Variables!$B$4,$D$15="si"),0,IPMT($D$18,B111-18,$K$9-18,-$J$10-SUM($L$34:$L$51))))))+IF(AND($D$8=Variables!$B$4,'Sim Reg N° 800'!$D$15="SI"),IPMT($D$18,B111-24,$K$9-24,-$J$10-SUM($M$34:$M$57))))</f>
        <v>397.21462613563938</v>
      </c>
      <c r="F111" s="14">
        <f>IF(B111&gt;$K$9,"",IF(AND($D$8=Variables!$B$3,$D$12="SI",$D$19="NO",$D$13="SI",B111&gt;=7),(PMT(0.06/12,$K$9,-$C$33)-PMT(0.045/12,$K$9,-$C$33)),IF(AND($D$8=Variables!$B$5,$D$19="NO",$D$12="SI",$D$13="SI",B111&gt;12),(PMT(0.06/12,$K$9,-$C$45)-PMT(0.045/12,$K$9,-$C$45)),IF(AND($D$8=Variables!$B$4,$D$12="SI",$D$19="NO",$D$13="SI",$D$15="NO",B111&gt;18),(PMT(0.06/12,$K$9,-$C$51)-PMT(0.045/12,$K$9,-$C$51)),IF(AND($D$8=Variables!$B$4,$D$12="SI",$D$19="NO",$D$13="SI",$D$15="SI",B111&gt;24),(PMT(0.06/12,$K$9,-$C$57)-PMT(0.045/12,$K$9,-$C$57)),0)))))</f>
        <v>111.43825839224587</v>
      </c>
      <c r="G111" s="14">
        <f>+IF(B111&gt;$K$9,"",IF($D$8=Variables!$B$6,0.21*IPMT('Sim Reg N° 800'!$D$18,'Sim Reg N° 800'!B111,'Sim Reg N° 800'!$K$9,-'Sim Reg N° 800'!$J$10),0))+F111*0.21</f>
        <v>23.402034262371632</v>
      </c>
      <c r="H111" s="14">
        <f t="shared" si="11"/>
        <v>742.86266444567434</v>
      </c>
      <c r="I111" s="14">
        <f t="shared" si="9"/>
        <v>0</v>
      </c>
      <c r="J111" s="14">
        <f t="shared" si="10"/>
        <v>742.86266444567434</v>
      </c>
      <c r="K111" s="26">
        <f t="shared" si="12"/>
        <v>222.85879933370231</v>
      </c>
      <c r="L111" s="21"/>
      <c r="M111" s="19"/>
      <c r="R111" s="20"/>
    </row>
    <row r="112" spans="1:18" hidden="1" x14ac:dyDescent="0.2">
      <c r="A112" s="7"/>
      <c r="B112" s="42">
        <v>79</v>
      </c>
      <c r="C112" s="14">
        <f t="shared" si="8"/>
        <v>105501.49428248014</v>
      </c>
      <c r="D112" s="14">
        <f>IF(B112&gt;$K$9,"",IF($D$8=Variables!$B$3,PPMT($D$18,B112,$K$9,-$J$10),IF($D$8=Variables!$B$6,PPMT($D$18,B112,$K$9,-$J$10),IF($D$8=Variables!$B$5,PPMT($D$18,B112-12,$K$9-12,-$C$45),IF(AND($D$8=Variables!$B$4,$D$15="si"),0,PPMT($D$18,B112-18,$K$9-18,-$J$10-SUM($L$34:$L$51))))))+IF(AND($D$8=Variables!$B$4,'Sim Reg N° 800'!$D$15="SI"),PPMT($D$18,B112-24,$K$9-24,-$J$10-SUM($M$34:$M$57))))</f>
        <v>211.59827470162534</v>
      </c>
      <c r="E112" s="14">
        <f>IF(B112&gt;$K$9,"",IF($D$8=Variables!$B$3,IPMT($D$18,B112,$K$9,-$J$10),IF($D$8=Variables!$B$6,IPMT($D$18,B112,$K$9,-$J$10),IF($D$8=Variables!$B$5,IPMT($D$18,B112-12,$K$9-12,-$C$45),IF(AND($D$8=Variables!$B$4,$D$15="si"),0,IPMT($D$18,B112-18,$K$9-18,-$J$10-SUM($L$34:$L$51))))))+IF(AND($D$8=Variables!$B$4,'Sim Reg N° 800'!$D$15="SI"),IPMT($D$18,B112-24,$K$9-24,-$J$10-SUM($M$34:$M$57))))</f>
        <v>396.42409708943143</v>
      </c>
      <c r="F112" s="14">
        <f>IF(B112&gt;$K$9,"",IF(AND($D$8=Variables!$B$3,$D$12="SI",$D$19="NO",$D$13="SI",B112&gt;=7),(PMT(0.06/12,$K$9,-$C$33)-PMT(0.045/12,$K$9,-$C$33)),IF(AND($D$8=Variables!$B$5,$D$19="NO",$D$12="SI",$D$13="SI",B112&gt;12),(PMT(0.06/12,$K$9,-$C$45)-PMT(0.045/12,$K$9,-$C$45)),IF(AND($D$8=Variables!$B$4,$D$12="SI",$D$19="NO",$D$13="SI",$D$15="NO",B112&gt;18),(PMT(0.06/12,$K$9,-$C$51)-PMT(0.045/12,$K$9,-$C$51)),IF(AND($D$8=Variables!$B$4,$D$12="SI",$D$19="NO",$D$13="SI",$D$15="SI",B112&gt;24),(PMT(0.06/12,$K$9,-$C$57)-PMT(0.045/12,$K$9,-$C$57)),0)))))</f>
        <v>111.43825839224587</v>
      </c>
      <c r="G112" s="14">
        <f>+IF(B112&gt;$K$9,"",IF($D$8=Variables!$B$6,0.21*IPMT('Sim Reg N° 800'!$D$18,'Sim Reg N° 800'!B112,'Sim Reg N° 800'!$K$9,-'Sim Reg N° 800'!$J$10),0))+F112*0.21</f>
        <v>23.402034262371632</v>
      </c>
      <c r="H112" s="14">
        <f t="shared" si="11"/>
        <v>742.86266444567423</v>
      </c>
      <c r="I112" s="14">
        <f t="shared" si="9"/>
        <v>0</v>
      </c>
      <c r="J112" s="14">
        <f t="shared" si="10"/>
        <v>742.86266444567423</v>
      </c>
      <c r="K112" s="26">
        <f t="shared" si="12"/>
        <v>222.85879933370225</v>
      </c>
      <c r="L112" s="21"/>
      <c r="M112" s="19"/>
      <c r="R112" s="20"/>
    </row>
    <row r="113" spans="1:18" hidden="1" x14ac:dyDescent="0.2">
      <c r="A113" s="7"/>
      <c r="B113" s="42">
        <v>80</v>
      </c>
      <c r="C113" s="14">
        <f t="shared" si="8"/>
        <v>105289.10251424838</v>
      </c>
      <c r="D113" s="14">
        <f>IF(B113&gt;$K$9,"",IF($D$8=Variables!$B$3,PPMT($D$18,B113,$K$9,-$J$10),IF($D$8=Variables!$B$6,PPMT($D$18,B113,$K$9,-$J$10),IF($D$8=Variables!$B$5,PPMT($D$18,B113-12,$K$9-12,-$C$45),IF(AND($D$8=Variables!$B$4,$D$15="si"),0,PPMT($D$18,B113-18,$K$9-18,-$J$10-SUM($L$34:$L$51))))))+IF(AND($D$8=Variables!$B$4,'Sim Reg N° 800'!$D$15="SI"),PPMT($D$18,B113-24,$K$9-24,-$J$10-SUM($M$34:$M$57))))</f>
        <v>212.39176823175643</v>
      </c>
      <c r="E113" s="14">
        <f>IF(B113&gt;$K$9,"",IF($D$8=Variables!$B$3,IPMT($D$18,B113,$K$9,-$J$10),IF($D$8=Variables!$B$6,IPMT($D$18,B113,$K$9,-$J$10),IF($D$8=Variables!$B$5,IPMT($D$18,B113-12,$K$9-12,-$C$45),IF(AND($D$8=Variables!$B$4,$D$15="si"),0,IPMT($D$18,B113-18,$K$9-18,-$J$10-SUM($L$34:$L$51))))))+IF(AND($D$8=Variables!$B$4,'Sim Reg N° 800'!$D$15="SI"),IPMT($D$18,B113-24,$K$9-24,-$J$10-SUM($M$34:$M$57))))</f>
        <v>395.63060355930043</v>
      </c>
      <c r="F113" s="14">
        <f>IF(B113&gt;$K$9,"",IF(AND($D$8=Variables!$B$3,$D$12="SI",$D$19="NO",$D$13="SI",B113&gt;=7),(PMT(0.06/12,$K$9,-$C$33)-PMT(0.045/12,$K$9,-$C$33)),IF(AND($D$8=Variables!$B$5,$D$19="NO",$D$12="SI",$D$13="SI",B113&gt;12),(PMT(0.06/12,$K$9,-$C$45)-PMT(0.045/12,$K$9,-$C$45)),IF(AND($D$8=Variables!$B$4,$D$12="SI",$D$19="NO",$D$13="SI",$D$15="NO",B113&gt;18),(PMT(0.06/12,$K$9,-$C$51)-PMT(0.045/12,$K$9,-$C$51)),IF(AND($D$8=Variables!$B$4,$D$12="SI",$D$19="NO",$D$13="SI",$D$15="SI",B113&gt;24),(PMT(0.06/12,$K$9,-$C$57)-PMT(0.045/12,$K$9,-$C$57)),0)))))</f>
        <v>111.43825839224587</v>
      </c>
      <c r="G113" s="14">
        <f>+IF(B113&gt;$K$9,"",IF($D$8=Variables!$B$6,0.21*IPMT('Sim Reg N° 800'!$D$18,'Sim Reg N° 800'!B113,'Sim Reg N° 800'!$K$9,-'Sim Reg N° 800'!$J$10),0))+F113*0.21</f>
        <v>23.402034262371632</v>
      </c>
      <c r="H113" s="14">
        <f t="shared" si="11"/>
        <v>742.86266444567434</v>
      </c>
      <c r="I113" s="14">
        <f t="shared" si="9"/>
        <v>0</v>
      </c>
      <c r="J113" s="14">
        <f t="shared" si="10"/>
        <v>742.86266444567434</v>
      </c>
      <c r="K113" s="26">
        <f t="shared" si="12"/>
        <v>222.85879933370231</v>
      </c>
      <c r="L113" s="21"/>
      <c r="M113" s="19"/>
      <c r="R113" s="20"/>
    </row>
    <row r="114" spans="1:18" hidden="1" x14ac:dyDescent="0.2">
      <c r="A114" s="7"/>
      <c r="B114" s="42">
        <v>81</v>
      </c>
      <c r="C114" s="14">
        <f t="shared" si="8"/>
        <v>105075.91427688576</v>
      </c>
      <c r="D114" s="14">
        <f>IF(B114&gt;$K$9,"",IF($D$8=Variables!$B$3,PPMT($D$18,B114,$K$9,-$J$10),IF($D$8=Variables!$B$6,PPMT($D$18,B114,$K$9,-$J$10),IF($D$8=Variables!$B$5,PPMT($D$18,B114-12,$K$9-12,-$C$45),IF(AND($D$8=Variables!$B$4,$D$15="si"),0,PPMT($D$18,B114-18,$K$9-18,-$J$10-SUM($L$34:$L$51))))))+IF(AND($D$8=Variables!$B$4,'Sim Reg N° 800'!$D$15="SI"),PPMT($D$18,B114-24,$K$9-24,-$J$10-SUM($M$34:$M$57))))</f>
        <v>213.1882373626255</v>
      </c>
      <c r="E114" s="14">
        <f>IF(B114&gt;$K$9,"",IF($D$8=Variables!$B$3,IPMT($D$18,B114,$K$9,-$J$10),IF($D$8=Variables!$B$6,IPMT($D$18,B114,$K$9,-$J$10),IF($D$8=Variables!$B$5,IPMT($D$18,B114-12,$K$9-12,-$C$45),IF(AND($D$8=Variables!$B$4,$D$15="si"),0,IPMT($D$18,B114-18,$K$9-18,-$J$10-SUM($L$34:$L$51))))))+IF(AND($D$8=Variables!$B$4,'Sim Reg N° 800'!$D$15="SI"),IPMT($D$18,B114-24,$K$9-24,-$J$10-SUM($M$34:$M$57))))</f>
        <v>394.83413442843135</v>
      </c>
      <c r="F114" s="14">
        <f>IF(B114&gt;$K$9,"",IF(AND($D$8=Variables!$B$3,$D$12="SI",$D$19="NO",$D$13="SI",B114&gt;=7),(PMT(0.06/12,$K$9,-$C$33)-PMT(0.045/12,$K$9,-$C$33)),IF(AND($D$8=Variables!$B$5,$D$19="NO",$D$12="SI",$D$13="SI",B114&gt;12),(PMT(0.06/12,$K$9,-$C$45)-PMT(0.045/12,$K$9,-$C$45)),IF(AND($D$8=Variables!$B$4,$D$12="SI",$D$19="NO",$D$13="SI",$D$15="NO",B114&gt;18),(PMT(0.06/12,$K$9,-$C$51)-PMT(0.045/12,$K$9,-$C$51)),IF(AND($D$8=Variables!$B$4,$D$12="SI",$D$19="NO",$D$13="SI",$D$15="SI",B114&gt;24),(PMT(0.06/12,$K$9,-$C$57)-PMT(0.045/12,$K$9,-$C$57)),0)))))</f>
        <v>111.43825839224587</v>
      </c>
      <c r="G114" s="14">
        <f>+IF(B114&gt;$K$9,"",IF($D$8=Variables!$B$6,0.21*IPMT('Sim Reg N° 800'!$D$18,'Sim Reg N° 800'!B114,'Sim Reg N° 800'!$K$9,-'Sim Reg N° 800'!$J$10),0))+F114*0.21</f>
        <v>23.402034262371632</v>
      </c>
      <c r="H114" s="14">
        <f t="shared" si="11"/>
        <v>742.86266444567434</v>
      </c>
      <c r="I114" s="14">
        <f t="shared" si="9"/>
        <v>0</v>
      </c>
      <c r="J114" s="14">
        <f t="shared" si="10"/>
        <v>742.86266444567434</v>
      </c>
      <c r="K114" s="26">
        <f t="shared" si="12"/>
        <v>222.85879933370231</v>
      </c>
      <c r="L114" s="21"/>
      <c r="M114" s="19"/>
      <c r="R114" s="20"/>
    </row>
    <row r="115" spans="1:18" hidden="1" x14ac:dyDescent="0.2">
      <c r="A115" s="7"/>
      <c r="B115" s="42">
        <v>82</v>
      </c>
      <c r="C115" s="14">
        <f t="shared" si="8"/>
        <v>104861.92658363302</v>
      </c>
      <c r="D115" s="14">
        <f>IF(B115&gt;$K$9,"",IF($D$8=Variables!$B$3,PPMT($D$18,B115,$K$9,-$J$10),IF($D$8=Variables!$B$6,PPMT($D$18,B115,$K$9,-$J$10),IF($D$8=Variables!$B$5,PPMT($D$18,B115-12,$K$9-12,-$C$45),IF(AND($D$8=Variables!$B$4,$D$15="si"),0,PPMT($D$18,B115-18,$K$9-18,-$J$10-SUM($L$34:$L$51))))))+IF(AND($D$8=Variables!$B$4,'Sim Reg N° 800'!$D$15="SI"),PPMT($D$18,B115-24,$K$9-24,-$J$10-SUM($M$34:$M$57))))</f>
        <v>213.98769325273534</v>
      </c>
      <c r="E115" s="14">
        <f>IF(B115&gt;$K$9,"",IF($D$8=Variables!$B$3,IPMT($D$18,B115,$K$9,-$J$10),IF($D$8=Variables!$B$6,IPMT($D$18,B115,$K$9,-$J$10),IF($D$8=Variables!$B$5,IPMT($D$18,B115-12,$K$9-12,-$C$45),IF(AND($D$8=Variables!$B$4,$D$15="si"),0,IPMT($D$18,B115-18,$K$9-18,-$J$10-SUM($L$34:$L$51))))))+IF(AND($D$8=Variables!$B$4,'Sim Reg N° 800'!$D$15="SI"),IPMT($D$18,B115-24,$K$9-24,-$J$10-SUM($M$34:$M$57))))</f>
        <v>394.03467853832149</v>
      </c>
      <c r="F115" s="14">
        <f>IF(B115&gt;$K$9,"",IF(AND($D$8=Variables!$B$3,$D$12="SI",$D$19="NO",$D$13="SI",B115&gt;=7),(PMT(0.06/12,$K$9,-$C$33)-PMT(0.045/12,$K$9,-$C$33)),IF(AND($D$8=Variables!$B$5,$D$19="NO",$D$12="SI",$D$13="SI",B115&gt;12),(PMT(0.06/12,$K$9,-$C$45)-PMT(0.045/12,$K$9,-$C$45)),IF(AND($D$8=Variables!$B$4,$D$12="SI",$D$19="NO",$D$13="SI",$D$15="NO",B115&gt;18),(PMT(0.06/12,$K$9,-$C$51)-PMT(0.045/12,$K$9,-$C$51)),IF(AND($D$8=Variables!$B$4,$D$12="SI",$D$19="NO",$D$13="SI",$D$15="SI",B115&gt;24),(PMT(0.06/12,$K$9,-$C$57)-PMT(0.045/12,$K$9,-$C$57)),0)))))</f>
        <v>111.43825839224587</v>
      </c>
      <c r="G115" s="14">
        <f>+IF(B115&gt;$K$9,"",IF($D$8=Variables!$B$6,0.21*IPMT('Sim Reg N° 800'!$D$18,'Sim Reg N° 800'!B115,'Sim Reg N° 800'!$K$9,-'Sim Reg N° 800'!$J$10),0))+F115*0.21</f>
        <v>23.402034262371632</v>
      </c>
      <c r="H115" s="14">
        <f t="shared" si="11"/>
        <v>742.86266444567434</v>
      </c>
      <c r="I115" s="14">
        <f t="shared" si="9"/>
        <v>0</v>
      </c>
      <c r="J115" s="14">
        <f t="shared" si="10"/>
        <v>742.86266444567434</v>
      </c>
      <c r="K115" s="26">
        <f t="shared" si="12"/>
        <v>222.85879933370231</v>
      </c>
      <c r="L115" s="21"/>
      <c r="M115" s="19"/>
      <c r="R115" s="20"/>
    </row>
    <row r="116" spans="1:18" hidden="1" x14ac:dyDescent="0.2">
      <c r="A116" s="7"/>
      <c r="B116" s="42">
        <v>83</v>
      </c>
      <c r="C116" s="14">
        <f t="shared" si="8"/>
        <v>104647.13643653058</v>
      </c>
      <c r="D116" s="14">
        <f>IF(B116&gt;$K$9,"",IF($D$8=Variables!$B$3,PPMT($D$18,B116,$K$9,-$J$10),IF($D$8=Variables!$B$6,PPMT($D$18,B116,$K$9,-$J$10),IF($D$8=Variables!$B$5,PPMT($D$18,B116-12,$K$9-12,-$C$45),IF(AND($D$8=Variables!$B$4,$D$15="si"),0,PPMT($D$18,B116-18,$K$9-18,-$J$10-SUM($L$34:$L$51))))))+IF(AND($D$8=Variables!$B$4,'Sim Reg N° 800'!$D$15="SI"),PPMT($D$18,B116-24,$K$9-24,-$J$10-SUM($M$34:$M$57))))</f>
        <v>214.79014710243314</v>
      </c>
      <c r="E116" s="14">
        <f>IF(B116&gt;$K$9,"",IF($D$8=Variables!$B$3,IPMT($D$18,B116,$K$9,-$J$10),IF($D$8=Variables!$B$6,IPMT($D$18,B116,$K$9,-$J$10),IF($D$8=Variables!$B$5,IPMT($D$18,B116-12,$K$9-12,-$C$45),IF(AND($D$8=Variables!$B$4,$D$15="si"),0,IPMT($D$18,B116-18,$K$9-18,-$J$10-SUM($L$34:$L$51))))))+IF(AND($D$8=Variables!$B$4,'Sim Reg N° 800'!$D$15="SI"),IPMT($D$18,B116-24,$K$9-24,-$J$10-SUM($M$34:$M$57))))</f>
        <v>393.23222468862372</v>
      </c>
      <c r="F116" s="14">
        <f>IF(B116&gt;$K$9,"",IF(AND($D$8=Variables!$B$3,$D$12="SI",$D$19="NO",$D$13="SI",B116&gt;=7),(PMT(0.06/12,$K$9,-$C$33)-PMT(0.045/12,$K$9,-$C$33)),IF(AND($D$8=Variables!$B$5,$D$19="NO",$D$12="SI",$D$13="SI",B116&gt;12),(PMT(0.06/12,$K$9,-$C$45)-PMT(0.045/12,$K$9,-$C$45)),IF(AND($D$8=Variables!$B$4,$D$12="SI",$D$19="NO",$D$13="SI",$D$15="NO",B116&gt;18),(PMT(0.06/12,$K$9,-$C$51)-PMT(0.045/12,$K$9,-$C$51)),IF(AND($D$8=Variables!$B$4,$D$12="SI",$D$19="NO",$D$13="SI",$D$15="SI",B116&gt;24),(PMT(0.06/12,$K$9,-$C$57)-PMT(0.045/12,$K$9,-$C$57)),0)))))</f>
        <v>111.43825839224587</v>
      </c>
      <c r="G116" s="14">
        <f>+IF(B116&gt;$K$9,"",IF($D$8=Variables!$B$6,0.21*IPMT('Sim Reg N° 800'!$D$18,'Sim Reg N° 800'!B116,'Sim Reg N° 800'!$K$9,-'Sim Reg N° 800'!$J$10),0))+F116*0.21</f>
        <v>23.402034262371632</v>
      </c>
      <c r="H116" s="14">
        <f t="shared" si="11"/>
        <v>742.86266444567434</v>
      </c>
      <c r="I116" s="14">
        <f t="shared" si="9"/>
        <v>0</v>
      </c>
      <c r="J116" s="14">
        <f t="shared" si="10"/>
        <v>742.86266444567434</v>
      </c>
      <c r="K116" s="26">
        <f t="shared" si="12"/>
        <v>222.85879933370231</v>
      </c>
      <c r="L116" s="21"/>
      <c r="M116" s="19"/>
      <c r="R116" s="20"/>
    </row>
    <row r="117" spans="1:18" hidden="1" x14ac:dyDescent="0.2">
      <c r="A117" s="7"/>
      <c r="B117" s="42">
        <v>84</v>
      </c>
      <c r="C117" s="14">
        <f t="shared" si="8"/>
        <v>104431.54082637651</v>
      </c>
      <c r="D117" s="14">
        <f>IF(B117&gt;$K$9,"",IF($D$8=Variables!$B$3,PPMT($D$18,B117,$K$9,-$J$10),IF($D$8=Variables!$B$6,PPMT($D$18,B117,$K$9,-$J$10),IF($D$8=Variables!$B$5,PPMT($D$18,B117-12,$K$9-12,-$C$45),IF(AND($D$8=Variables!$B$4,$D$15="si"),0,PPMT($D$18,B117-18,$K$9-18,-$J$10-SUM($L$34:$L$51))))))+IF(AND($D$8=Variables!$B$4,'Sim Reg N° 800'!$D$15="SI"),PPMT($D$18,B117-24,$K$9-24,-$J$10-SUM($M$34:$M$57))))</f>
        <v>215.59561015406726</v>
      </c>
      <c r="E117" s="14">
        <f>IF(B117&gt;$K$9,"",IF($D$8=Variables!$B$3,IPMT($D$18,B117,$K$9,-$J$10),IF($D$8=Variables!$B$6,IPMT($D$18,B117,$K$9,-$J$10),IF($D$8=Variables!$B$5,IPMT($D$18,B117-12,$K$9-12,-$C$45),IF(AND($D$8=Variables!$B$4,$D$15="si"),0,IPMT($D$18,B117-18,$K$9-18,-$J$10-SUM($L$34:$L$51))))))+IF(AND($D$8=Variables!$B$4,'Sim Reg N° 800'!$D$15="SI"),IPMT($D$18,B117-24,$K$9-24,-$J$10-SUM($M$34:$M$57))))</f>
        <v>392.42676163698957</v>
      </c>
      <c r="F117" s="14">
        <f>IF(B117&gt;$K$9,"",IF(AND($D$8=Variables!$B$3,$D$12="SI",$D$19="NO",$D$13="SI",B117&gt;=7),(PMT(0.06/12,$K$9,-$C$33)-PMT(0.045/12,$K$9,-$C$33)),IF(AND($D$8=Variables!$B$5,$D$19="NO",$D$12="SI",$D$13="SI",B117&gt;12),(PMT(0.06/12,$K$9,-$C$45)-PMT(0.045/12,$K$9,-$C$45)),IF(AND($D$8=Variables!$B$4,$D$12="SI",$D$19="NO",$D$13="SI",$D$15="NO",B117&gt;18),(PMT(0.06/12,$K$9,-$C$51)-PMT(0.045/12,$K$9,-$C$51)),IF(AND($D$8=Variables!$B$4,$D$12="SI",$D$19="NO",$D$13="SI",$D$15="SI",B117&gt;24),(PMT(0.06/12,$K$9,-$C$57)-PMT(0.045/12,$K$9,-$C$57)),0)))))</f>
        <v>111.43825839224587</v>
      </c>
      <c r="G117" s="14">
        <f>+IF(B117&gt;$K$9,"",IF($D$8=Variables!$B$6,0.21*IPMT('Sim Reg N° 800'!$D$18,'Sim Reg N° 800'!B117,'Sim Reg N° 800'!$K$9,-'Sim Reg N° 800'!$J$10),0))+F117*0.21</f>
        <v>23.402034262371632</v>
      </c>
      <c r="H117" s="14">
        <f t="shared" si="11"/>
        <v>742.86266444567434</v>
      </c>
      <c r="I117" s="14">
        <f t="shared" si="9"/>
        <v>0</v>
      </c>
      <c r="J117" s="14">
        <f t="shared" si="10"/>
        <v>742.86266444567434</v>
      </c>
      <c r="K117" s="26">
        <f t="shared" si="12"/>
        <v>222.85879933370231</v>
      </c>
      <c r="L117" s="21"/>
      <c r="M117" s="19"/>
      <c r="R117" s="20"/>
    </row>
    <row r="118" spans="1:18" hidden="1" x14ac:dyDescent="0.2">
      <c r="A118" s="7"/>
      <c r="B118" s="42">
        <v>85</v>
      </c>
      <c r="C118" s="14">
        <f t="shared" si="8"/>
        <v>104215.13673268436</v>
      </c>
      <c r="D118" s="14">
        <f>IF(B118&gt;$K$9,"",IF($D$8=Variables!$B$3,PPMT($D$18,B118,$K$9,-$J$10),IF($D$8=Variables!$B$6,PPMT($D$18,B118,$K$9,-$J$10),IF($D$8=Variables!$B$5,PPMT($D$18,B118-12,$K$9-12,-$C$45),IF(AND($D$8=Variables!$B$4,$D$15="si"),0,PPMT($D$18,B118-18,$K$9-18,-$J$10-SUM($L$34:$L$51))))))+IF(AND($D$8=Variables!$B$4,'Sim Reg N° 800'!$D$15="SI"),PPMT($D$18,B118-24,$K$9-24,-$J$10-SUM($M$34:$M$57))))</f>
        <v>216.40409369214501</v>
      </c>
      <c r="E118" s="14">
        <f>IF(B118&gt;$K$9,"",IF($D$8=Variables!$B$3,IPMT($D$18,B118,$K$9,-$J$10),IF($D$8=Variables!$B$6,IPMT($D$18,B118,$K$9,-$J$10),IF($D$8=Variables!$B$5,IPMT($D$18,B118-12,$K$9-12,-$C$45),IF(AND($D$8=Variables!$B$4,$D$15="si"),0,IPMT($D$18,B118-18,$K$9-18,-$J$10-SUM($L$34:$L$51))))))+IF(AND($D$8=Variables!$B$4,'Sim Reg N° 800'!$D$15="SI"),IPMT($D$18,B118-24,$K$9-24,-$J$10-SUM($M$34:$M$57))))</f>
        <v>391.61827809891184</v>
      </c>
      <c r="F118" s="14">
        <f>IF(B118&gt;$K$9,"",IF(AND($D$8=Variables!$B$3,$D$12="SI",$D$19="NO",$D$13="SI",B118&gt;=7),(PMT(0.06/12,$K$9,-$C$33)-PMT(0.045/12,$K$9,-$C$33)),IF(AND($D$8=Variables!$B$5,$D$19="NO",$D$12="SI",$D$13="SI",B118&gt;12),(PMT(0.06/12,$K$9,-$C$45)-PMT(0.045/12,$K$9,-$C$45)),IF(AND($D$8=Variables!$B$4,$D$12="SI",$D$19="NO",$D$13="SI",$D$15="NO",B118&gt;18),(PMT(0.06/12,$K$9,-$C$51)-PMT(0.045/12,$K$9,-$C$51)),IF(AND($D$8=Variables!$B$4,$D$12="SI",$D$19="NO",$D$13="SI",$D$15="SI",B118&gt;24),(PMT(0.06/12,$K$9,-$C$57)-PMT(0.045/12,$K$9,-$C$57)),0)))))</f>
        <v>111.43825839224587</v>
      </c>
      <c r="G118" s="14">
        <f>+IF(B118&gt;$K$9,"",IF($D$8=Variables!$B$6,0.21*IPMT('Sim Reg N° 800'!$D$18,'Sim Reg N° 800'!B118,'Sim Reg N° 800'!$K$9,-'Sim Reg N° 800'!$J$10),0))+F118*0.21</f>
        <v>23.402034262371632</v>
      </c>
      <c r="H118" s="14">
        <f t="shared" si="11"/>
        <v>742.86266444567434</v>
      </c>
      <c r="I118" s="14">
        <f t="shared" si="9"/>
        <v>95.999999999999986</v>
      </c>
      <c r="J118" s="14">
        <f t="shared" si="10"/>
        <v>838.86266444567434</v>
      </c>
      <c r="K118" s="26">
        <f t="shared" si="12"/>
        <v>251.65879933370229</v>
      </c>
      <c r="L118" s="21"/>
      <c r="M118" s="19"/>
      <c r="R118" s="20"/>
    </row>
    <row r="119" spans="1:18" hidden="1" x14ac:dyDescent="0.2">
      <c r="A119" s="7"/>
      <c r="B119" s="42">
        <v>86</v>
      </c>
      <c r="C119" s="14">
        <f t="shared" si="8"/>
        <v>103997.92112364087</v>
      </c>
      <c r="D119" s="14">
        <f>IF(B119&gt;$K$9,"",IF($D$8=Variables!$B$3,PPMT($D$18,B119,$K$9,-$J$10),IF($D$8=Variables!$B$6,PPMT($D$18,B119,$K$9,-$J$10),IF($D$8=Variables!$B$5,PPMT($D$18,B119-12,$K$9-12,-$C$45),IF(AND($D$8=Variables!$B$4,$D$15="si"),0,PPMT($D$18,B119-18,$K$9-18,-$J$10-SUM($L$34:$L$51))))))+IF(AND($D$8=Variables!$B$4,'Sim Reg N° 800'!$D$15="SI"),PPMT($D$18,B119-24,$K$9-24,-$J$10-SUM($M$34:$M$57))))</f>
        <v>217.21560904349053</v>
      </c>
      <c r="E119" s="14">
        <f>IF(B119&gt;$K$9,"",IF($D$8=Variables!$B$3,IPMT($D$18,B119,$K$9,-$J$10),IF($D$8=Variables!$B$6,IPMT($D$18,B119,$K$9,-$J$10),IF($D$8=Variables!$B$5,IPMT($D$18,B119-12,$K$9-12,-$C$45),IF(AND($D$8=Variables!$B$4,$D$15="si"),0,IPMT($D$18,B119-18,$K$9-18,-$J$10-SUM($L$34:$L$51))))))+IF(AND($D$8=Variables!$B$4,'Sim Reg N° 800'!$D$15="SI"),IPMT($D$18,B119-24,$K$9-24,-$J$10-SUM($M$34:$M$57))))</f>
        <v>390.80676274756632</v>
      </c>
      <c r="F119" s="14">
        <f>IF(B119&gt;$K$9,"",IF(AND($D$8=Variables!$B$3,$D$12="SI",$D$19="NO",$D$13="SI",B119&gt;=7),(PMT(0.06/12,$K$9,-$C$33)-PMT(0.045/12,$K$9,-$C$33)),IF(AND($D$8=Variables!$B$5,$D$19="NO",$D$12="SI",$D$13="SI",B119&gt;12),(PMT(0.06/12,$K$9,-$C$45)-PMT(0.045/12,$K$9,-$C$45)),IF(AND($D$8=Variables!$B$4,$D$12="SI",$D$19="NO",$D$13="SI",$D$15="NO",B119&gt;18),(PMT(0.06/12,$K$9,-$C$51)-PMT(0.045/12,$K$9,-$C$51)),IF(AND($D$8=Variables!$B$4,$D$12="SI",$D$19="NO",$D$13="SI",$D$15="SI",B119&gt;24),(PMT(0.06/12,$K$9,-$C$57)-PMT(0.045/12,$K$9,-$C$57)),0)))))</f>
        <v>111.43825839224587</v>
      </c>
      <c r="G119" s="14">
        <f>+IF(B119&gt;$K$9,"",IF($D$8=Variables!$B$6,0.21*IPMT('Sim Reg N° 800'!$D$18,'Sim Reg N° 800'!B119,'Sim Reg N° 800'!$K$9,-'Sim Reg N° 800'!$J$10),0))+F119*0.21</f>
        <v>23.402034262371632</v>
      </c>
      <c r="H119" s="14">
        <f t="shared" si="11"/>
        <v>742.86266444567434</v>
      </c>
      <c r="I119" s="14">
        <f t="shared" si="9"/>
        <v>0</v>
      </c>
      <c r="J119" s="14">
        <f t="shared" si="10"/>
        <v>742.86266444567434</v>
      </c>
      <c r="K119" s="26">
        <f t="shared" si="12"/>
        <v>222.85879933370231</v>
      </c>
      <c r="L119" s="21"/>
      <c r="M119" s="19"/>
      <c r="R119" s="20"/>
    </row>
    <row r="120" spans="1:18" hidden="1" x14ac:dyDescent="0.2">
      <c r="A120" s="7"/>
      <c r="B120" s="42">
        <v>87</v>
      </c>
      <c r="C120" s="14">
        <f t="shared" si="8"/>
        <v>103779.89095606346</v>
      </c>
      <c r="D120" s="14">
        <f>IF(B120&gt;$K$9,"",IF($D$8=Variables!$B$3,PPMT($D$18,B120,$K$9,-$J$10),IF($D$8=Variables!$B$6,PPMT($D$18,B120,$K$9,-$J$10),IF($D$8=Variables!$B$5,PPMT($D$18,B120-12,$K$9-12,-$C$45),IF(AND($D$8=Variables!$B$4,$D$15="si"),0,PPMT($D$18,B120-18,$K$9-18,-$J$10-SUM($L$34:$L$51))))))+IF(AND($D$8=Variables!$B$4,'Sim Reg N° 800'!$D$15="SI"),PPMT($D$18,B120-24,$K$9-24,-$J$10-SUM($M$34:$M$57))))</f>
        <v>218.03016757740363</v>
      </c>
      <c r="E120" s="14">
        <f>IF(B120&gt;$K$9,"",IF($D$8=Variables!$B$3,IPMT($D$18,B120,$K$9,-$J$10),IF($D$8=Variables!$B$6,IPMT($D$18,B120,$K$9,-$J$10),IF($D$8=Variables!$B$5,IPMT($D$18,B120-12,$K$9-12,-$C$45),IF(AND($D$8=Variables!$B$4,$D$15="si"),0,IPMT($D$18,B120-18,$K$9-18,-$J$10-SUM($L$34:$L$51))))))+IF(AND($D$8=Variables!$B$4,'Sim Reg N° 800'!$D$15="SI"),IPMT($D$18,B120-24,$K$9-24,-$J$10-SUM($M$34:$M$57))))</f>
        <v>389.99220421365317</v>
      </c>
      <c r="F120" s="14">
        <f>IF(B120&gt;$K$9,"",IF(AND($D$8=Variables!$B$3,$D$12="SI",$D$19="NO",$D$13="SI",B120&gt;=7),(PMT(0.06/12,$K$9,-$C$33)-PMT(0.045/12,$K$9,-$C$33)),IF(AND($D$8=Variables!$B$5,$D$19="NO",$D$12="SI",$D$13="SI",B120&gt;12),(PMT(0.06/12,$K$9,-$C$45)-PMT(0.045/12,$K$9,-$C$45)),IF(AND($D$8=Variables!$B$4,$D$12="SI",$D$19="NO",$D$13="SI",$D$15="NO",B120&gt;18),(PMT(0.06/12,$K$9,-$C$51)-PMT(0.045/12,$K$9,-$C$51)),IF(AND($D$8=Variables!$B$4,$D$12="SI",$D$19="NO",$D$13="SI",$D$15="SI",B120&gt;24),(PMT(0.06/12,$K$9,-$C$57)-PMT(0.045/12,$K$9,-$C$57)),0)))))</f>
        <v>111.43825839224587</v>
      </c>
      <c r="G120" s="14">
        <f>+IF(B120&gt;$K$9,"",IF($D$8=Variables!$B$6,0.21*IPMT('Sim Reg N° 800'!$D$18,'Sim Reg N° 800'!B120,'Sim Reg N° 800'!$K$9,-'Sim Reg N° 800'!$J$10),0))+F120*0.21</f>
        <v>23.402034262371632</v>
      </c>
      <c r="H120" s="14">
        <f t="shared" si="11"/>
        <v>742.86266444567423</v>
      </c>
      <c r="I120" s="14">
        <f t="shared" si="9"/>
        <v>0</v>
      </c>
      <c r="J120" s="14">
        <f t="shared" si="10"/>
        <v>742.86266444567423</v>
      </c>
      <c r="K120" s="26">
        <f t="shared" si="12"/>
        <v>222.85879933370225</v>
      </c>
      <c r="L120" s="21"/>
      <c r="M120" s="19"/>
      <c r="R120" s="20"/>
    </row>
    <row r="121" spans="1:18" hidden="1" x14ac:dyDescent="0.2">
      <c r="A121" s="7"/>
      <c r="B121" s="42">
        <v>88</v>
      </c>
      <c r="C121" s="14">
        <f t="shared" si="8"/>
        <v>103561.04317535764</v>
      </c>
      <c r="D121" s="14">
        <f>IF(B121&gt;$K$9,"",IF($D$8=Variables!$B$3,PPMT($D$18,B121,$K$9,-$J$10),IF($D$8=Variables!$B$6,PPMT($D$18,B121,$K$9,-$J$10),IF($D$8=Variables!$B$5,PPMT($D$18,B121-12,$K$9-12,-$C$45),IF(AND($D$8=Variables!$B$4,$D$15="si"),0,PPMT($D$18,B121-18,$K$9-18,-$J$10-SUM($L$34:$L$51))))))+IF(AND($D$8=Variables!$B$4,'Sim Reg N° 800'!$D$15="SI"),PPMT($D$18,B121-24,$K$9-24,-$J$10-SUM($M$34:$M$57))))</f>
        <v>218.84778070581891</v>
      </c>
      <c r="E121" s="14">
        <f>IF(B121&gt;$K$9,"",IF($D$8=Variables!$B$3,IPMT($D$18,B121,$K$9,-$J$10),IF($D$8=Variables!$B$6,IPMT($D$18,B121,$K$9,-$J$10),IF($D$8=Variables!$B$5,IPMT($D$18,B121-12,$K$9-12,-$C$45),IF(AND($D$8=Variables!$B$4,$D$15="si"),0,IPMT($D$18,B121-18,$K$9-18,-$J$10-SUM($L$34:$L$51))))))+IF(AND($D$8=Variables!$B$4,'Sim Reg N° 800'!$D$15="SI"),IPMT($D$18,B121-24,$K$9-24,-$J$10-SUM($M$34:$M$57))))</f>
        <v>389.17459108523792</v>
      </c>
      <c r="F121" s="14">
        <f>IF(B121&gt;$K$9,"",IF(AND($D$8=Variables!$B$3,$D$12="SI",$D$19="NO",$D$13="SI",B121&gt;=7),(PMT(0.06/12,$K$9,-$C$33)-PMT(0.045/12,$K$9,-$C$33)),IF(AND($D$8=Variables!$B$5,$D$19="NO",$D$12="SI",$D$13="SI",B121&gt;12),(PMT(0.06/12,$K$9,-$C$45)-PMT(0.045/12,$K$9,-$C$45)),IF(AND($D$8=Variables!$B$4,$D$12="SI",$D$19="NO",$D$13="SI",$D$15="NO",B121&gt;18),(PMT(0.06/12,$K$9,-$C$51)-PMT(0.045/12,$K$9,-$C$51)),IF(AND($D$8=Variables!$B$4,$D$12="SI",$D$19="NO",$D$13="SI",$D$15="SI",B121&gt;24),(PMT(0.06/12,$K$9,-$C$57)-PMT(0.045/12,$K$9,-$C$57)),0)))))</f>
        <v>111.43825839224587</v>
      </c>
      <c r="G121" s="14">
        <f>+IF(B121&gt;$K$9,"",IF($D$8=Variables!$B$6,0.21*IPMT('Sim Reg N° 800'!$D$18,'Sim Reg N° 800'!B121,'Sim Reg N° 800'!$K$9,-'Sim Reg N° 800'!$J$10),0))+F121*0.21</f>
        <v>23.402034262371632</v>
      </c>
      <c r="H121" s="14">
        <f t="shared" si="11"/>
        <v>742.86266444567434</v>
      </c>
      <c r="I121" s="14">
        <f t="shared" si="9"/>
        <v>0</v>
      </c>
      <c r="J121" s="14">
        <f t="shared" si="10"/>
        <v>742.86266444567434</v>
      </c>
      <c r="K121" s="26">
        <f t="shared" si="12"/>
        <v>222.85879933370231</v>
      </c>
      <c r="L121" s="21"/>
      <c r="M121" s="19"/>
      <c r="R121" s="20"/>
    </row>
    <row r="122" spans="1:18" hidden="1" x14ac:dyDescent="0.2">
      <c r="A122" s="7"/>
      <c r="B122" s="42">
        <v>89</v>
      </c>
      <c r="C122" s="14">
        <f t="shared" si="8"/>
        <v>103341.37471547417</v>
      </c>
      <c r="D122" s="14">
        <f>IF(B122&gt;$K$9,"",IF($D$8=Variables!$B$3,PPMT($D$18,B122,$K$9,-$J$10),IF($D$8=Variables!$B$6,PPMT($D$18,B122,$K$9,-$J$10),IF($D$8=Variables!$B$5,PPMT($D$18,B122-12,$K$9-12,-$C$45),IF(AND($D$8=Variables!$B$4,$D$15="si"),0,PPMT($D$18,B122-18,$K$9-18,-$J$10-SUM($L$34:$L$51))))))+IF(AND($D$8=Variables!$B$4,'Sim Reg N° 800'!$D$15="SI"),PPMT($D$18,B122-24,$K$9-24,-$J$10-SUM($M$34:$M$57))))</f>
        <v>219.66845988346569</v>
      </c>
      <c r="E122" s="14">
        <f>IF(B122&gt;$K$9,"",IF($D$8=Variables!$B$3,IPMT($D$18,B122,$K$9,-$J$10),IF($D$8=Variables!$B$6,IPMT($D$18,B122,$K$9,-$J$10),IF($D$8=Variables!$B$5,IPMT($D$18,B122-12,$K$9-12,-$C$45),IF(AND($D$8=Variables!$B$4,$D$15="si"),0,IPMT($D$18,B122-18,$K$9-18,-$J$10-SUM($L$34:$L$51))))))+IF(AND($D$8=Variables!$B$4,'Sim Reg N° 800'!$D$15="SI"),IPMT($D$18,B122-24,$K$9-24,-$J$10-SUM($M$34:$M$57))))</f>
        <v>388.35391190759117</v>
      </c>
      <c r="F122" s="14">
        <f>IF(B122&gt;$K$9,"",IF(AND($D$8=Variables!$B$3,$D$12="SI",$D$19="NO",$D$13="SI",B122&gt;=7),(PMT(0.06/12,$K$9,-$C$33)-PMT(0.045/12,$K$9,-$C$33)),IF(AND($D$8=Variables!$B$5,$D$19="NO",$D$12="SI",$D$13="SI",B122&gt;12),(PMT(0.06/12,$K$9,-$C$45)-PMT(0.045/12,$K$9,-$C$45)),IF(AND($D$8=Variables!$B$4,$D$12="SI",$D$19="NO",$D$13="SI",$D$15="NO",B122&gt;18),(PMT(0.06/12,$K$9,-$C$51)-PMT(0.045/12,$K$9,-$C$51)),IF(AND($D$8=Variables!$B$4,$D$12="SI",$D$19="NO",$D$13="SI",$D$15="SI",B122&gt;24),(PMT(0.06/12,$K$9,-$C$57)-PMT(0.045/12,$K$9,-$C$57)),0)))))</f>
        <v>111.43825839224587</v>
      </c>
      <c r="G122" s="14">
        <f>+IF(B122&gt;$K$9,"",IF($D$8=Variables!$B$6,0.21*IPMT('Sim Reg N° 800'!$D$18,'Sim Reg N° 800'!B122,'Sim Reg N° 800'!$K$9,-'Sim Reg N° 800'!$J$10),0))+F122*0.21</f>
        <v>23.402034262371632</v>
      </c>
      <c r="H122" s="14">
        <f t="shared" si="11"/>
        <v>742.86266444567434</v>
      </c>
      <c r="I122" s="14">
        <f t="shared" si="9"/>
        <v>0</v>
      </c>
      <c r="J122" s="14">
        <f t="shared" si="10"/>
        <v>742.86266444567434</v>
      </c>
      <c r="K122" s="26">
        <f t="shared" si="12"/>
        <v>222.85879933370231</v>
      </c>
      <c r="L122" s="21"/>
      <c r="M122" s="19"/>
      <c r="R122" s="20"/>
    </row>
    <row r="123" spans="1:18" hidden="1" x14ac:dyDescent="0.2">
      <c r="A123" s="7"/>
      <c r="B123" s="42">
        <v>90</v>
      </c>
      <c r="C123" s="14">
        <f t="shared" si="8"/>
        <v>103120.88249886614</v>
      </c>
      <c r="D123" s="14">
        <f>IF(B123&gt;$K$9,"",IF($D$8=Variables!$B$3,PPMT($D$18,B123,$K$9,-$J$10),IF($D$8=Variables!$B$6,PPMT($D$18,B123,$K$9,-$J$10),IF($D$8=Variables!$B$5,PPMT($D$18,B123-12,$K$9-12,-$C$45),IF(AND($D$8=Variables!$B$4,$D$15="si"),0,PPMT($D$18,B123-18,$K$9-18,-$J$10-SUM($L$34:$L$51))))))+IF(AND($D$8=Variables!$B$4,'Sim Reg N° 800'!$D$15="SI"),PPMT($D$18,B123-24,$K$9-24,-$J$10-SUM($M$34:$M$57))))</f>
        <v>220.49221660802871</v>
      </c>
      <c r="E123" s="14">
        <f>IF(B123&gt;$K$9,"",IF($D$8=Variables!$B$3,IPMT($D$18,B123,$K$9,-$J$10),IF($D$8=Variables!$B$6,IPMT($D$18,B123,$K$9,-$J$10),IF($D$8=Variables!$B$5,IPMT($D$18,B123-12,$K$9-12,-$C$45),IF(AND($D$8=Variables!$B$4,$D$15="si"),0,IPMT($D$18,B123-18,$K$9-18,-$J$10-SUM($L$34:$L$51))))))+IF(AND($D$8=Variables!$B$4,'Sim Reg N° 800'!$D$15="SI"),IPMT($D$18,B123-24,$K$9-24,-$J$10-SUM($M$34:$M$57))))</f>
        <v>387.53015518302806</v>
      </c>
      <c r="F123" s="14">
        <f>IF(B123&gt;$K$9,"",IF(AND($D$8=Variables!$B$3,$D$12="SI",$D$19="NO",$D$13="SI",B123&gt;=7),(PMT(0.06/12,$K$9,-$C$33)-PMT(0.045/12,$K$9,-$C$33)),IF(AND($D$8=Variables!$B$5,$D$19="NO",$D$12="SI",$D$13="SI",B123&gt;12),(PMT(0.06/12,$K$9,-$C$45)-PMT(0.045/12,$K$9,-$C$45)),IF(AND($D$8=Variables!$B$4,$D$12="SI",$D$19="NO",$D$13="SI",$D$15="NO",B123&gt;18),(PMT(0.06/12,$K$9,-$C$51)-PMT(0.045/12,$K$9,-$C$51)),IF(AND($D$8=Variables!$B$4,$D$12="SI",$D$19="NO",$D$13="SI",$D$15="SI",B123&gt;24),(PMT(0.06/12,$K$9,-$C$57)-PMT(0.045/12,$K$9,-$C$57)),0)))))</f>
        <v>111.43825839224587</v>
      </c>
      <c r="G123" s="14">
        <f>+IF(B123&gt;$K$9,"",IF($D$8=Variables!$B$6,0.21*IPMT('Sim Reg N° 800'!$D$18,'Sim Reg N° 800'!B123,'Sim Reg N° 800'!$K$9,-'Sim Reg N° 800'!$J$10),0))+F123*0.21</f>
        <v>23.402034262371632</v>
      </c>
      <c r="H123" s="14">
        <f t="shared" si="11"/>
        <v>742.86266444567423</v>
      </c>
      <c r="I123" s="14">
        <f t="shared" si="9"/>
        <v>0</v>
      </c>
      <c r="J123" s="14">
        <f t="shared" si="10"/>
        <v>742.86266444567423</v>
      </c>
      <c r="K123" s="26">
        <f t="shared" si="12"/>
        <v>222.85879933370225</v>
      </c>
      <c r="L123" s="21"/>
      <c r="M123" s="19"/>
      <c r="R123" s="20"/>
    </row>
    <row r="124" spans="1:18" hidden="1" x14ac:dyDescent="0.2">
      <c r="A124" s="7"/>
      <c r="B124" s="42">
        <v>91</v>
      </c>
      <c r="C124" s="14">
        <f t="shared" si="8"/>
        <v>102899.56343644582</v>
      </c>
      <c r="D124" s="14">
        <f>IF(B124&gt;$K$9,"",IF($D$8=Variables!$B$3,PPMT($D$18,B124,$K$9,-$J$10),IF($D$8=Variables!$B$6,PPMT($D$18,B124,$K$9,-$J$10),IF($D$8=Variables!$B$5,PPMT($D$18,B124-12,$K$9-12,-$C$45),IF(AND($D$8=Variables!$B$4,$D$15="si"),0,PPMT($D$18,B124-18,$K$9-18,-$J$10-SUM($L$34:$L$51))))))+IF(AND($D$8=Variables!$B$4,'Sim Reg N° 800'!$D$15="SI"),PPMT($D$18,B124-24,$K$9-24,-$J$10-SUM($M$34:$M$57))))</f>
        <v>221.31906242030882</v>
      </c>
      <c r="E124" s="14">
        <f>IF(B124&gt;$K$9,"",IF($D$8=Variables!$B$3,IPMT($D$18,B124,$K$9,-$J$10),IF($D$8=Variables!$B$6,IPMT($D$18,B124,$K$9,-$J$10),IF($D$8=Variables!$B$5,IPMT($D$18,B124-12,$K$9-12,-$C$45),IF(AND($D$8=Variables!$B$4,$D$15="si"),0,IPMT($D$18,B124-18,$K$9-18,-$J$10-SUM($L$34:$L$51))))))+IF(AND($D$8=Variables!$B$4,'Sim Reg N° 800'!$D$15="SI"),IPMT($D$18,B124-24,$K$9-24,-$J$10-SUM($M$34:$M$57))))</f>
        <v>386.70330937074806</v>
      </c>
      <c r="F124" s="14">
        <f>IF(B124&gt;$K$9,"",IF(AND($D$8=Variables!$B$3,$D$12="SI",$D$19="NO",$D$13="SI",B124&gt;=7),(PMT(0.06/12,$K$9,-$C$33)-PMT(0.045/12,$K$9,-$C$33)),IF(AND($D$8=Variables!$B$5,$D$19="NO",$D$12="SI",$D$13="SI",B124&gt;12),(PMT(0.06/12,$K$9,-$C$45)-PMT(0.045/12,$K$9,-$C$45)),IF(AND($D$8=Variables!$B$4,$D$12="SI",$D$19="NO",$D$13="SI",$D$15="NO",B124&gt;18),(PMT(0.06/12,$K$9,-$C$51)-PMT(0.045/12,$K$9,-$C$51)),IF(AND($D$8=Variables!$B$4,$D$12="SI",$D$19="NO",$D$13="SI",$D$15="SI",B124&gt;24),(PMT(0.06/12,$K$9,-$C$57)-PMT(0.045/12,$K$9,-$C$57)),0)))))</f>
        <v>111.43825839224587</v>
      </c>
      <c r="G124" s="14">
        <f>+IF(B124&gt;$K$9,"",IF($D$8=Variables!$B$6,0.21*IPMT('Sim Reg N° 800'!$D$18,'Sim Reg N° 800'!B124,'Sim Reg N° 800'!$K$9,-'Sim Reg N° 800'!$J$10),0))+F124*0.21</f>
        <v>23.402034262371632</v>
      </c>
      <c r="H124" s="14">
        <f t="shared" si="11"/>
        <v>742.86266444567434</v>
      </c>
      <c r="I124" s="14">
        <f t="shared" si="9"/>
        <v>0</v>
      </c>
      <c r="J124" s="14">
        <f t="shared" si="10"/>
        <v>742.86266444567434</v>
      </c>
      <c r="K124" s="26">
        <f t="shared" si="12"/>
        <v>222.85879933370231</v>
      </c>
      <c r="L124" s="21"/>
      <c r="M124" s="19"/>
      <c r="R124" s="20"/>
    </row>
    <row r="125" spans="1:18" hidden="1" x14ac:dyDescent="0.2">
      <c r="A125" s="7"/>
      <c r="B125" s="42">
        <v>92</v>
      </c>
      <c r="C125" s="14">
        <f t="shared" si="8"/>
        <v>102677.41442754144</v>
      </c>
      <c r="D125" s="14">
        <f>IF(B125&gt;$K$9,"",IF($D$8=Variables!$B$3,PPMT($D$18,B125,$K$9,-$J$10),IF($D$8=Variables!$B$6,PPMT($D$18,B125,$K$9,-$J$10),IF($D$8=Variables!$B$5,PPMT($D$18,B125-12,$K$9-12,-$C$45),IF(AND($D$8=Variables!$B$4,$D$15="si"),0,PPMT($D$18,B125-18,$K$9-18,-$J$10-SUM($L$34:$L$51))))))+IF(AND($D$8=Variables!$B$4,'Sim Reg N° 800'!$D$15="SI"),PPMT($D$18,B125-24,$K$9-24,-$J$10-SUM($M$34:$M$57))))</f>
        <v>222.149008904385</v>
      </c>
      <c r="E125" s="14">
        <f>IF(B125&gt;$K$9,"",IF($D$8=Variables!$B$3,IPMT($D$18,B125,$K$9,-$J$10),IF($D$8=Variables!$B$6,IPMT($D$18,B125,$K$9,-$J$10),IF($D$8=Variables!$B$5,IPMT($D$18,B125-12,$K$9-12,-$C$45),IF(AND($D$8=Variables!$B$4,$D$15="si"),0,IPMT($D$18,B125-18,$K$9-18,-$J$10-SUM($L$34:$L$51))))))+IF(AND($D$8=Variables!$B$4,'Sim Reg N° 800'!$D$15="SI"),IPMT($D$18,B125-24,$K$9-24,-$J$10-SUM($M$34:$M$57))))</f>
        <v>385.87336288667183</v>
      </c>
      <c r="F125" s="14">
        <f>IF(B125&gt;$K$9,"",IF(AND($D$8=Variables!$B$3,$D$12="SI",$D$19="NO",$D$13="SI",B125&gt;=7),(PMT(0.06/12,$K$9,-$C$33)-PMT(0.045/12,$K$9,-$C$33)),IF(AND($D$8=Variables!$B$5,$D$19="NO",$D$12="SI",$D$13="SI",B125&gt;12),(PMT(0.06/12,$K$9,-$C$45)-PMT(0.045/12,$K$9,-$C$45)),IF(AND($D$8=Variables!$B$4,$D$12="SI",$D$19="NO",$D$13="SI",$D$15="NO",B125&gt;18),(PMT(0.06/12,$K$9,-$C$51)-PMT(0.045/12,$K$9,-$C$51)),IF(AND($D$8=Variables!$B$4,$D$12="SI",$D$19="NO",$D$13="SI",$D$15="SI",B125&gt;24),(PMT(0.06/12,$K$9,-$C$57)-PMT(0.045/12,$K$9,-$C$57)),0)))))</f>
        <v>111.43825839224587</v>
      </c>
      <c r="G125" s="14">
        <f>+IF(B125&gt;$K$9,"",IF($D$8=Variables!$B$6,0.21*IPMT('Sim Reg N° 800'!$D$18,'Sim Reg N° 800'!B125,'Sim Reg N° 800'!$K$9,-'Sim Reg N° 800'!$J$10),0))+F125*0.21</f>
        <v>23.402034262371632</v>
      </c>
      <c r="H125" s="14">
        <f t="shared" si="11"/>
        <v>742.86266444567434</v>
      </c>
      <c r="I125" s="14">
        <f t="shared" si="9"/>
        <v>0</v>
      </c>
      <c r="J125" s="14">
        <f t="shared" si="10"/>
        <v>742.86266444567434</v>
      </c>
      <c r="K125" s="26">
        <f t="shared" si="12"/>
        <v>222.85879933370231</v>
      </c>
      <c r="L125" s="21"/>
      <c r="M125" s="19"/>
      <c r="R125" s="20"/>
    </row>
    <row r="126" spans="1:18" hidden="1" x14ac:dyDescent="0.2">
      <c r="A126" s="7"/>
      <c r="B126" s="42">
        <v>93</v>
      </c>
      <c r="C126" s="14">
        <f t="shared" si="8"/>
        <v>102454.43235985367</v>
      </c>
      <c r="D126" s="14">
        <f>IF(B126&gt;$K$9,"",IF($D$8=Variables!$B$3,PPMT($D$18,B126,$K$9,-$J$10),IF($D$8=Variables!$B$6,PPMT($D$18,B126,$K$9,-$J$10),IF($D$8=Variables!$B$5,PPMT($D$18,B126-12,$K$9-12,-$C$45),IF(AND($D$8=Variables!$B$4,$D$15="si"),0,PPMT($D$18,B126-18,$K$9-18,-$J$10-SUM($L$34:$L$51))))))+IF(AND($D$8=Variables!$B$4,'Sim Reg N° 800'!$D$15="SI"),PPMT($D$18,B126-24,$K$9-24,-$J$10-SUM($M$34:$M$57))))</f>
        <v>222.98206768777641</v>
      </c>
      <c r="E126" s="14">
        <f>IF(B126&gt;$K$9,"",IF($D$8=Variables!$B$3,IPMT($D$18,B126,$K$9,-$J$10),IF($D$8=Variables!$B$6,IPMT($D$18,B126,$K$9,-$J$10),IF($D$8=Variables!$B$5,IPMT($D$18,B126-12,$K$9-12,-$C$45),IF(AND($D$8=Variables!$B$4,$D$15="si"),0,IPMT($D$18,B126-18,$K$9-18,-$J$10-SUM($L$34:$L$51))))))+IF(AND($D$8=Variables!$B$4,'Sim Reg N° 800'!$D$15="SI"),IPMT($D$18,B126-24,$K$9-24,-$J$10-SUM($M$34:$M$57))))</f>
        <v>385.04030410328039</v>
      </c>
      <c r="F126" s="14">
        <f>IF(B126&gt;$K$9,"",IF(AND($D$8=Variables!$B$3,$D$12="SI",$D$19="NO",$D$13="SI",B126&gt;=7),(PMT(0.06/12,$K$9,-$C$33)-PMT(0.045/12,$K$9,-$C$33)),IF(AND($D$8=Variables!$B$5,$D$19="NO",$D$12="SI",$D$13="SI",B126&gt;12),(PMT(0.06/12,$K$9,-$C$45)-PMT(0.045/12,$K$9,-$C$45)),IF(AND($D$8=Variables!$B$4,$D$12="SI",$D$19="NO",$D$13="SI",$D$15="NO",B126&gt;18),(PMT(0.06/12,$K$9,-$C$51)-PMT(0.045/12,$K$9,-$C$51)),IF(AND($D$8=Variables!$B$4,$D$12="SI",$D$19="NO",$D$13="SI",$D$15="SI",B126&gt;24),(PMT(0.06/12,$K$9,-$C$57)-PMT(0.045/12,$K$9,-$C$57)),0)))))</f>
        <v>111.43825839224587</v>
      </c>
      <c r="G126" s="14">
        <f>+IF(B126&gt;$K$9,"",IF($D$8=Variables!$B$6,0.21*IPMT('Sim Reg N° 800'!$D$18,'Sim Reg N° 800'!B126,'Sim Reg N° 800'!$K$9,-'Sim Reg N° 800'!$J$10),0))+F126*0.21</f>
        <v>23.402034262371632</v>
      </c>
      <c r="H126" s="14">
        <f t="shared" si="11"/>
        <v>742.86266444567423</v>
      </c>
      <c r="I126" s="14">
        <f t="shared" si="9"/>
        <v>0</v>
      </c>
      <c r="J126" s="14">
        <f t="shared" si="10"/>
        <v>742.86266444567423</v>
      </c>
      <c r="K126" s="26">
        <f t="shared" si="12"/>
        <v>222.85879933370225</v>
      </c>
      <c r="L126" s="21"/>
      <c r="M126" s="19"/>
      <c r="R126" s="20"/>
    </row>
    <row r="127" spans="1:18" hidden="1" x14ac:dyDescent="0.2">
      <c r="A127" s="7"/>
      <c r="B127" s="42">
        <v>94</v>
      </c>
      <c r="C127" s="14">
        <f t="shared" si="8"/>
        <v>102230.61410941207</v>
      </c>
      <c r="D127" s="14">
        <f>IF(B127&gt;$K$9,"",IF($D$8=Variables!$B$3,PPMT($D$18,B127,$K$9,-$J$10),IF($D$8=Variables!$B$6,PPMT($D$18,B127,$K$9,-$J$10),IF($D$8=Variables!$B$5,PPMT($D$18,B127-12,$K$9-12,-$C$45),IF(AND($D$8=Variables!$B$4,$D$15="si"),0,PPMT($D$18,B127-18,$K$9-18,-$J$10-SUM($L$34:$L$51))))))+IF(AND($D$8=Variables!$B$4,'Sim Reg N° 800'!$D$15="SI"),PPMT($D$18,B127-24,$K$9-24,-$J$10-SUM($M$34:$M$57))))</f>
        <v>223.81825044160558</v>
      </c>
      <c r="E127" s="14">
        <f>IF(B127&gt;$K$9,"",IF($D$8=Variables!$B$3,IPMT($D$18,B127,$K$9,-$J$10),IF($D$8=Variables!$B$6,IPMT($D$18,B127,$K$9,-$J$10),IF($D$8=Variables!$B$5,IPMT($D$18,B127-12,$K$9-12,-$C$45),IF(AND($D$8=Variables!$B$4,$D$15="si"),0,IPMT($D$18,B127-18,$K$9-18,-$J$10-SUM($L$34:$L$51))))))+IF(AND($D$8=Variables!$B$4,'Sim Reg N° 800'!$D$15="SI"),IPMT($D$18,B127-24,$K$9-24,-$J$10-SUM($M$34:$M$57))))</f>
        <v>384.20412134945121</v>
      </c>
      <c r="F127" s="14">
        <f>IF(B127&gt;$K$9,"",IF(AND($D$8=Variables!$B$3,$D$12="SI",$D$19="NO",$D$13="SI",B127&gt;=7),(PMT(0.06/12,$K$9,-$C$33)-PMT(0.045/12,$K$9,-$C$33)),IF(AND($D$8=Variables!$B$5,$D$19="NO",$D$12="SI",$D$13="SI",B127&gt;12),(PMT(0.06/12,$K$9,-$C$45)-PMT(0.045/12,$K$9,-$C$45)),IF(AND($D$8=Variables!$B$4,$D$12="SI",$D$19="NO",$D$13="SI",$D$15="NO",B127&gt;18),(PMT(0.06/12,$K$9,-$C$51)-PMT(0.045/12,$K$9,-$C$51)),IF(AND($D$8=Variables!$B$4,$D$12="SI",$D$19="NO",$D$13="SI",$D$15="SI",B127&gt;24),(PMT(0.06/12,$K$9,-$C$57)-PMT(0.045/12,$K$9,-$C$57)),0)))))</f>
        <v>111.43825839224587</v>
      </c>
      <c r="G127" s="14">
        <f>+IF(B127&gt;$K$9,"",IF($D$8=Variables!$B$6,0.21*IPMT('Sim Reg N° 800'!$D$18,'Sim Reg N° 800'!B127,'Sim Reg N° 800'!$K$9,-'Sim Reg N° 800'!$J$10),0))+F127*0.21</f>
        <v>23.402034262371632</v>
      </c>
      <c r="H127" s="14">
        <f t="shared" si="11"/>
        <v>742.86266444567423</v>
      </c>
      <c r="I127" s="14">
        <f t="shared" si="9"/>
        <v>0</v>
      </c>
      <c r="J127" s="14">
        <f t="shared" si="10"/>
        <v>742.86266444567423</v>
      </c>
      <c r="K127" s="26">
        <f t="shared" si="12"/>
        <v>222.85879933370225</v>
      </c>
      <c r="L127" s="21"/>
      <c r="M127" s="19"/>
      <c r="R127" s="20"/>
    </row>
    <row r="128" spans="1:18" hidden="1" x14ac:dyDescent="0.2">
      <c r="A128" s="7"/>
      <c r="B128" s="42">
        <v>95</v>
      </c>
      <c r="C128" s="14">
        <f t="shared" si="8"/>
        <v>102005.9565405313</v>
      </c>
      <c r="D128" s="14">
        <f>IF(B128&gt;$K$9,"",IF($D$8=Variables!$B$3,PPMT($D$18,B128,$K$9,-$J$10),IF($D$8=Variables!$B$6,PPMT($D$18,B128,$K$9,-$J$10),IF($D$8=Variables!$B$5,PPMT($D$18,B128-12,$K$9-12,-$C$45),IF(AND($D$8=Variables!$B$4,$D$15="si"),0,PPMT($D$18,B128-18,$K$9-18,-$J$10-SUM($L$34:$L$51))))))+IF(AND($D$8=Variables!$B$4,'Sim Reg N° 800'!$D$15="SI"),PPMT($D$18,B128-24,$K$9-24,-$J$10-SUM($M$34:$M$57))))</f>
        <v>224.65756888076157</v>
      </c>
      <c r="E128" s="14">
        <f>IF(B128&gt;$K$9,"",IF($D$8=Variables!$B$3,IPMT($D$18,B128,$K$9,-$J$10),IF($D$8=Variables!$B$6,IPMT($D$18,B128,$K$9,-$J$10),IF($D$8=Variables!$B$5,IPMT($D$18,B128-12,$K$9-12,-$C$45),IF(AND($D$8=Variables!$B$4,$D$15="si"),0,IPMT($D$18,B128-18,$K$9-18,-$J$10-SUM($L$34:$L$51))))))+IF(AND($D$8=Variables!$B$4,'Sim Reg N° 800'!$D$15="SI"),IPMT($D$18,B128-24,$K$9-24,-$J$10-SUM($M$34:$M$57))))</f>
        <v>383.36480291029523</v>
      </c>
      <c r="F128" s="14">
        <f>IF(B128&gt;$K$9,"",IF(AND($D$8=Variables!$B$3,$D$12="SI",$D$19="NO",$D$13="SI",B128&gt;=7),(PMT(0.06/12,$K$9,-$C$33)-PMT(0.045/12,$K$9,-$C$33)),IF(AND($D$8=Variables!$B$5,$D$19="NO",$D$12="SI",$D$13="SI",B128&gt;12),(PMT(0.06/12,$K$9,-$C$45)-PMT(0.045/12,$K$9,-$C$45)),IF(AND($D$8=Variables!$B$4,$D$12="SI",$D$19="NO",$D$13="SI",$D$15="NO",B128&gt;18),(PMT(0.06/12,$K$9,-$C$51)-PMT(0.045/12,$K$9,-$C$51)),IF(AND($D$8=Variables!$B$4,$D$12="SI",$D$19="NO",$D$13="SI",$D$15="SI",B128&gt;24),(PMT(0.06/12,$K$9,-$C$57)-PMT(0.045/12,$K$9,-$C$57)),0)))))</f>
        <v>111.43825839224587</v>
      </c>
      <c r="G128" s="14">
        <f>+IF(B128&gt;$K$9,"",IF($D$8=Variables!$B$6,0.21*IPMT('Sim Reg N° 800'!$D$18,'Sim Reg N° 800'!B128,'Sim Reg N° 800'!$K$9,-'Sim Reg N° 800'!$J$10),0))+F128*0.21</f>
        <v>23.402034262371632</v>
      </c>
      <c r="H128" s="14">
        <f t="shared" si="11"/>
        <v>742.86266444567423</v>
      </c>
      <c r="I128" s="14">
        <f t="shared" si="9"/>
        <v>0</v>
      </c>
      <c r="J128" s="14">
        <f t="shared" si="10"/>
        <v>742.86266444567423</v>
      </c>
      <c r="K128" s="26">
        <f t="shared" si="12"/>
        <v>222.85879933370225</v>
      </c>
      <c r="L128" s="21"/>
      <c r="M128" s="19"/>
      <c r="R128" s="20"/>
    </row>
    <row r="129" spans="1:18" hidden="1" x14ac:dyDescent="0.2">
      <c r="A129" s="7"/>
      <c r="B129" s="42">
        <v>96</v>
      </c>
      <c r="C129" s="14">
        <f t="shared" si="8"/>
        <v>101780.45650576724</v>
      </c>
      <c r="D129" s="14">
        <f>IF(B129&gt;$K$9,"",IF($D$8=Variables!$B$3,PPMT($D$18,B129,$K$9,-$J$10),IF($D$8=Variables!$B$6,PPMT($D$18,B129,$K$9,-$J$10),IF($D$8=Variables!$B$5,PPMT($D$18,B129-12,$K$9-12,-$C$45),IF(AND($D$8=Variables!$B$4,$D$15="si"),0,PPMT($D$18,B129-18,$K$9-18,-$J$10-SUM($L$34:$L$51))))))+IF(AND($D$8=Variables!$B$4,'Sim Reg N° 800'!$D$15="SI"),PPMT($D$18,B129-24,$K$9-24,-$J$10-SUM($M$34:$M$57))))</f>
        <v>225.50003476406445</v>
      </c>
      <c r="E129" s="14">
        <f>IF(B129&gt;$K$9,"",IF($D$8=Variables!$B$3,IPMT($D$18,B129,$K$9,-$J$10),IF($D$8=Variables!$B$6,IPMT($D$18,B129,$K$9,-$J$10),IF($D$8=Variables!$B$5,IPMT($D$18,B129-12,$K$9-12,-$C$45),IF(AND($D$8=Variables!$B$4,$D$15="si"),0,IPMT($D$18,B129-18,$K$9-18,-$J$10-SUM($L$34:$L$51))))))+IF(AND($D$8=Variables!$B$4,'Sim Reg N° 800'!$D$15="SI"),IPMT($D$18,B129-24,$K$9-24,-$J$10-SUM($M$34:$M$57))))</f>
        <v>382.52233702699237</v>
      </c>
      <c r="F129" s="14">
        <f>IF(B129&gt;$K$9,"",IF(AND($D$8=Variables!$B$3,$D$12="SI",$D$19="NO",$D$13="SI",B129&gt;=7),(PMT(0.06/12,$K$9,-$C$33)-PMT(0.045/12,$K$9,-$C$33)),IF(AND($D$8=Variables!$B$5,$D$19="NO",$D$12="SI",$D$13="SI",B129&gt;12),(PMT(0.06/12,$K$9,-$C$45)-PMT(0.045/12,$K$9,-$C$45)),IF(AND($D$8=Variables!$B$4,$D$12="SI",$D$19="NO",$D$13="SI",$D$15="NO",B129&gt;18),(PMT(0.06/12,$K$9,-$C$51)-PMT(0.045/12,$K$9,-$C$51)),IF(AND($D$8=Variables!$B$4,$D$12="SI",$D$19="NO",$D$13="SI",$D$15="SI",B129&gt;24),(PMT(0.06/12,$K$9,-$C$57)-PMT(0.045/12,$K$9,-$C$57)),0)))))</f>
        <v>111.43825839224587</v>
      </c>
      <c r="G129" s="14">
        <f>+IF(B129&gt;$K$9,"",IF($D$8=Variables!$B$6,0.21*IPMT('Sim Reg N° 800'!$D$18,'Sim Reg N° 800'!B129,'Sim Reg N° 800'!$K$9,-'Sim Reg N° 800'!$J$10),0))+F129*0.21</f>
        <v>23.402034262371632</v>
      </c>
      <c r="H129" s="14">
        <f t="shared" si="11"/>
        <v>742.86266444567434</v>
      </c>
      <c r="I129" s="14">
        <f t="shared" si="9"/>
        <v>0</v>
      </c>
      <c r="J129" s="14">
        <f t="shared" si="10"/>
        <v>742.86266444567434</v>
      </c>
      <c r="K129" s="26">
        <f t="shared" si="12"/>
        <v>222.85879933370231</v>
      </c>
      <c r="L129" s="21"/>
      <c r="M129" s="19"/>
      <c r="R129" s="20"/>
    </row>
    <row r="130" spans="1:18" hidden="1" x14ac:dyDescent="0.2">
      <c r="A130" s="7"/>
      <c r="B130" s="42">
        <v>97</v>
      </c>
      <c r="C130" s="14">
        <f t="shared" si="8"/>
        <v>101554.11084587281</v>
      </c>
      <c r="D130" s="14">
        <f>IF(B130&gt;$K$9,"",IF($D$8=Variables!$B$3,PPMT($D$18,B130,$K$9,-$J$10),IF($D$8=Variables!$B$6,PPMT($D$18,B130,$K$9,-$J$10),IF($D$8=Variables!$B$5,PPMT($D$18,B130-12,$K$9-12,-$C$45),IF(AND($D$8=Variables!$B$4,$D$15="si"),0,PPMT($D$18,B130-18,$K$9-18,-$J$10-SUM($L$34:$L$51))))))+IF(AND($D$8=Variables!$B$4,'Sim Reg N° 800'!$D$15="SI"),PPMT($D$18,B130-24,$K$9-24,-$J$10-SUM($M$34:$M$57))))</f>
        <v>226.34565989442973</v>
      </c>
      <c r="E130" s="14">
        <f>IF(B130&gt;$K$9,"",IF($D$8=Variables!$B$3,IPMT($D$18,B130,$K$9,-$J$10),IF($D$8=Variables!$B$6,IPMT($D$18,B130,$K$9,-$J$10),IF($D$8=Variables!$B$5,IPMT($D$18,B130-12,$K$9-12,-$C$45),IF(AND($D$8=Variables!$B$4,$D$15="si"),0,IPMT($D$18,B130-18,$K$9-18,-$J$10-SUM($L$34:$L$51))))))+IF(AND($D$8=Variables!$B$4,'Sim Reg N° 800'!$D$15="SI"),IPMT($D$18,B130-24,$K$9-24,-$J$10-SUM($M$34:$M$57))))</f>
        <v>381.67671189662713</v>
      </c>
      <c r="F130" s="14">
        <f>IF(B130&gt;$K$9,"",IF(AND($D$8=Variables!$B$3,$D$12="SI",$D$19="NO",$D$13="SI",B130&gt;=7),(PMT(0.06/12,$K$9,-$C$33)-PMT(0.045/12,$K$9,-$C$33)),IF(AND($D$8=Variables!$B$5,$D$19="NO",$D$12="SI",$D$13="SI",B130&gt;12),(PMT(0.06/12,$K$9,-$C$45)-PMT(0.045/12,$K$9,-$C$45)),IF(AND($D$8=Variables!$B$4,$D$12="SI",$D$19="NO",$D$13="SI",$D$15="NO",B130&gt;18),(PMT(0.06/12,$K$9,-$C$51)-PMT(0.045/12,$K$9,-$C$51)),IF(AND($D$8=Variables!$B$4,$D$12="SI",$D$19="NO",$D$13="SI",$D$15="SI",B130&gt;24),(PMT(0.06/12,$K$9,-$C$57)-PMT(0.045/12,$K$9,-$C$57)),0)))))</f>
        <v>111.43825839224587</v>
      </c>
      <c r="G130" s="14">
        <f>+IF(B130&gt;$K$9,"",IF($D$8=Variables!$B$6,0.21*IPMT('Sim Reg N° 800'!$D$18,'Sim Reg N° 800'!B130,'Sim Reg N° 800'!$K$9,-'Sim Reg N° 800'!$J$10),0))+F130*0.21</f>
        <v>23.402034262371632</v>
      </c>
      <c r="H130" s="14">
        <f t="shared" si="11"/>
        <v>742.86266444567434</v>
      </c>
      <c r="I130" s="14">
        <f t="shared" si="9"/>
        <v>95.999999999999986</v>
      </c>
      <c r="J130" s="14">
        <f t="shared" si="10"/>
        <v>838.86266444567434</v>
      </c>
      <c r="K130" s="26">
        <f t="shared" si="12"/>
        <v>251.65879933370229</v>
      </c>
      <c r="L130" s="21"/>
      <c r="M130" s="19"/>
      <c r="R130" s="20"/>
    </row>
    <row r="131" spans="1:18" hidden="1" x14ac:dyDescent="0.2">
      <c r="A131" s="7"/>
      <c r="B131" s="42">
        <v>98</v>
      </c>
      <c r="C131" s="14">
        <f t="shared" si="8"/>
        <v>101326.91638975378</v>
      </c>
      <c r="D131" s="14">
        <f>IF(B131&gt;$K$9,"",IF($D$8=Variables!$B$3,PPMT($D$18,B131,$K$9,-$J$10),IF($D$8=Variables!$B$6,PPMT($D$18,B131,$K$9,-$J$10),IF($D$8=Variables!$B$5,PPMT($D$18,B131-12,$K$9-12,-$C$45),IF(AND($D$8=Variables!$B$4,$D$15="si"),0,PPMT($D$18,B131-18,$K$9-18,-$J$10-SUM($L$34:$L$51))))))+IF(AND($D$8=Variables!$B$4,'Sim Reg N° 800'!$D$15="SI"),PPMT($D$18,B131-24,$K$9-24,-$J$10-SUM($M$34:$M$57))))</f>
        <v>227.19445611903382</v>
      </c>
      <c r="E131" s="14">
        <f>IF(B131&gt;$K$9,"",IF($D$8=Variables!$B$3,IPMT($D$18,B131,$K$9,-$J$10),IF($D$8=Variables!$B$6,IPMT($D$18,B131,$K$9,-$J$10),IF($D$8=Variables!$B$5,IPMT($D$18,B131-12,$K$9-12,-$C$45),IF(AND($D$8=Variables!$B$4,$D$15="si"),0,IPMT($D$18,B131-18,$K$9-18,-$J$10-SUM($L$34:$L$51))))))+IF(AND($D$8=Variables!$B$4,'Sim Reg N° 800'!$D$15="SI"),IPMT($D$18,B131-24,$K$9-24,-$J$10-SUM($M$34:$M$57))))</f>
        <v>380.82791567202304</v>
      </c>
      <c r="F131" s="14">
        <f>IF(B131&gt;$K$9,"",IF(AND($D$8=Variables!$B$3,$D$12="SI",$D$19="NO",$D$13="SI",B131&gt;=7),(PMT(0.06/12,$K$9,-$C$33)-PMT(0.045/12,$K$9,-$C$33)),IF(AND($D$8=Variables!$B$5,$D$19="NO",$D$12="SI",$D$13="SI",B131&gt;12),(PMT(0.06/12,$K$9,-$C$45)-PMT(0.045/12,$K$9,-$C$45)),IF(AND($D$8=Variables!$B$4,$D$12="SI",$D$19="NO",$D$13="SI",$D$15="NO",B131&gt;18),(PMT(0.06/12,$K$9,-$C$51)-PMT(0.045/12,$K$9,-$C$51)),IF(AND($D$8=Variables!$B$4,$D$12="SI",$D$19="NO",$D$13="SI",$D$15="SI",B131&gt;24),(PMT(0.06/12,$K$9,-$C$57)-PMT(0.045/12,$K$9,-$C$57)),0)))))</f>
        <v>111.43825839224587</v>
      </c>
      <c r="G131" s="14">
        <f>+IF(B131&gt;$K$9,"",IF($D$8=Variables!$B$6,0.21*IPMT('Sim Reg N° 800'!$D$18,'Sim Reg N° 800'!B131,'Sim Reg N° 800'!$K$9,-'Sim Reg N° 800'!$J$10),0))+F131*0.21</f>
        <v>23.402034262371632</v>
      </c>
      <c r="H131" s="14">
        <f t="shared" si="11"/>
        <v>742.86266444567434</v>
      </c>
      <c r="I131" s="14">
        <f t="shared" si="9"/>
        <v>0</v>
      </c>
      <c r="J131" s="14">
        <f t="shared" si="10"/>
        <v>742.86266444567434</v>
      </c>
      <c r="K131" s="26">
        <f t="shared" si="12"/>
        <v>222.85879933370231</v>
      </c>
      <c r="L131" s="21"/>
      <c r="M131" s="19"/>
      <c r="R131" s="20"/>
    </row>
    <row r="132" spans="1:18" hidden="1" x14ac:dyDescent="0.2">
      <c r="A132" s="7"/>
      <c r="B132" s="42">
        <v>99</v>
      </c>
      <c r="C132" s="14">
        <f t="shared" si="8"/>
        <v>101098.8699544243</v>
      </c>
      <c r="D132" s="14">
        <f>IF(B132&gt;$K$9,"",IF($D$8=Variables!$B$3,PPMT($D$18,B132,$K$9,-$J$10),IF($D$8=Variables!$B$6,PPMT($D$18,B132,$K$9,-$J$10),IF($D$8=Variables!$B$5,PPMT($D$18,B132-12,$K$9-12,-$C$45),IF(AND($D$8=Variables!$B$4,$D$15="si"),0,PPMT($D$18,B132-18,$K$9-18,-$J$10-SUM($L$34:$L$51))))))+IF(AND($D$8=Variables!$B$4,'Sim Reg N° 800'!$D$15="SI"),PPMT($D$18,B132-24,$K$9-24,-$J$10-SUM($M$34:$M$57))))</f>
        <v>228.04643532948018</v>
      </c>
      <c r="E132" s="14">
        <f>IF(B132&gt;$K$9,"",IF($D$8=Variables!$B$3,IPMT($D$18,B132,$K$9,-$J$10),IF($D$8=Variables!$B$6,IPMT($D$18,B132,$K$9,-$J$10),IF($D$8=Variables!$B$5,IPMT($D$18,B132-12,$K$9-12,-$C$45),IF(AND($D$8=Variables!$B$4,$D$15="si"),0,IPMT($D$18,B132-18,$K$9-18,-$J$10-SUM($L$34:$L$51))))))+IF(AND($D$8=Variables!$B$4,'Sim Reg N° 800'!$D$15="SI"),IPMT($D$18,B132-24,$K$9-24,-$J$10-SUM($M$34:$M$57))))</f>
        <v>379.97593646157662</v>
      </c>
      <c r="F132" s="14">
        <f>IF(B132&gt;$K$9,"",IF(AND($D$8=Variables!$B$3,$D$12="SI",$D$19="NO",$D$13="SI",B132&gt;=7),(PMT(0.06/12,$K$9,-$C$33)-PMT(0.045/12,$K$9,-$C$33)),IF(AND($D$8=Variables!$B$5,$D$19="NO",$D$12="SI",$D$13="SI",B132&gt;12),(PMT(0.06/12,$K$9,-$C$45)-PMT(0.045/12,$K$9,-$C$45)),IF(AND($D$8=Variables!$B$4,$D$12="SI",$D$19="NO",$D$13="SI",$D$15="NO",B132&gt;18),(PMT(0.06/12,$K$9,-$C$51)-PMT(0.045/12,$K$9,-$C$51)),IF(AND($D$8=Variables!$B$4,$D$12="SI",$D$19="NO",$D$13="SI",$D$15="SI",B132&gt;24),(PMT(0.06/12,$K$9,-$C$57)-PMT(0.045/12,$K$9,-$C$57)),0)))))</f>
        <v>111.43825839224587</v>
      </c>
      <c r="G132" s="14">
        <f>+IF(B132&gt;$K$9,"",IF($D$8=Variables!$B$6,0.21*IPMT('Sim Reg N° 800'!$D$18,'Sim Reg N° 800'!B132,'Sim Reg N° 800'!$K$9,-'Sim Reg N° 800'!$J$10),0))+F132*0.21</f>
        <v>23.402034262371632</v>
      </c>
      <c r="H132" s="14">
        <f t="shared" si="11"/>
        <v>742.86266444567423</v>
      </c>
      <c r="I132" s="14">
        <f t="shared" si="9"/>
        <v>0</v>
      </c>
      <c r="J132" s="14">
        <f t="shared" si="10"/>
        <v>742.86266444567423</v>
      </c>
      <c r="K132" s="26">
        <f t="shared" si="12"/>
        <v>222.85879933370225</v>
      </c>
      <c r="L132" s="21"/>
      <c r="M132" s="19"/>
      <c r="R132" s="20"/>
    </row>
    <row r="133" spans="1:18" hidden="1" x14ac:dyDescent="0.2">
      <c r="A133" s="7"/>
      <c r="B133" s="42">
        <v>100</v>
      </c>
      <c r="C133" s="14">
        <f t="shared" si="8"/>
        <v>100869.96834496233</v>
      </c>
      <c r="D133" s="14">
        <f>IF(B133&gt;$K$9,"",IF($D$8=Variables!$B$3,PPMT($D$18,B133,$K$9,-$J$10),IF($D$8=Variables!$B$6,PPMT($D$18,B133,$K$9,-$J$10),IF($D$8=Variables!$B$5,PPMT($D$18,B133-12,$K$9-12,-$C$45),IF(AND($D$8=Variables!$B$4,$D$15="si"),0,PPMT($D$18,B133-18,$K$9-18,-$J$10-SUM($L$34:$L$51))))))+IF(AND($D$8=Variables!$B$4,'Sim Reg N° 800'!$D$15="SI"),PPMT($D$18,B133-24,$K$9-24,-$J$10-SUM($M$34:$M$57))))</f>
        <v>228.90160946196573</v>
      </c>
      <c r="E133" s="14">
        <f>IF(B133&gt;$K$9,"",IF($D$8=Variables!$B$3,IPMT($D$18,B133,$K$9,-$J$10),IF($D$8=Variables!$B$6,IPMT($D$18,B133,$K$9,-$J$10),IF($D$8=Variables!$B$5,IPMT($D$18,B133-12,$K$9-12,-$C$45),IF(AND($D$8=Variables!$B$4,$D$15="si"),0,IPMT($D$18,B133-18,$K$9-18,-$J$10-SUM($L$34:$L$51))))))+IF(AND($D$8=Variables!$B$4,'Sim Reg N° 800'!$D$15="SI"),IPMT($D$18,B133-24,$K$9-24,-$J$10-SUM($M$34:$M$57))))</f>
        <v>379.12076232909106</v>
      </c>
      <c r="F133" s="14">
        <f>IF(B133&gt;$K$9,"",IF(AND($D$8=Variables!$B$3,$D$12="SI",$D$19="NO",$D$13="SI",B133&gt;=7),(PMT(0.06/12,$K$9,-$C$33)-PMT(0.045/12,$K$9,-$C$33)),IF(AND($D$8=Variables!$B$5,$D$19="NO",$D$12="SI",$D$13="SI",B133&gt;12),(PMT(0.06/12,$K$9,-$C$45)-PMT(0.045/12,$K$9,-$C$45)),IF(AND($D$8=Variables!$B$4,$D$12="SI",$D$19="NO",$D$13="SI",$D$15="NO",B133&gt;18),(PMT(0.06/12,$K$9,-$C$51)-PMT(0.045/12,$K$9,-$C$51)),IF(AND($D$8=Variables!$B$4,$D$12="SI",$D$19="NO",$D$13="SI",$D$15="SI",B133&gt;24),(PMT(0.06/12,$K$9,-$C$57)-PMT(0.045/12,$K$9,-$C$57)),0)))))</f>
        <v>111.43825839224587</v>
      </c>
      <c r="G133" s="14">
        <f>+IF(B133&gt;$K$9,"",IF($D$8=Variables!$B$6,0.21*IPMT('Sim Reg N° 800'!$D$18,'Sim Reg N° 800'!B133,'Sim Reg N° 800'!$K$9,-'Sim Reg N° 800'!$J$10),0))+F133*0.21</f>
        <v>23.402034262371632</v>
      </c>
      <c r="H133" s="14">
        <f t="shared" si="11"/>
        <v>742.86266444567423</v>
      </c>
      <c r="I133" s="14">
        <f t="shared" si="9"/>
        <v>0</v>
      </c>
      <c r="J133" s="14">
        <f t="shared" si="10"/>
        <v>742.86266444567423</v>
      </c>
      <c r="K133" s="26">
        <f t="shared" si="12"/>
        <v>222.85879933370225</v>
      </c>
      <c r="L133" s="21"/>
      <c r="M133" s="19"/>
      <c r="R133" s="20"/>
    </row>
    <row r="134" spans="1:18" hidden="1" x14ac:dyDescent="0.2">
      <c r="A134" s="7"/>
      <c r="B134" s="42">
        <v>101</v>
      </c>
      <c r="C134" s="14">
        <f t="shared" si="8"/>
        <v>100640.20835446488</v>
      </c>
      <c r="D134" s="14">
        <f>IF(B134&gt;$K$9,"",IF($D$8=Variables!$B$3,PPMT($D$18,B134,$K$9,-$J$10),IF($D$8=Variables!$B$6,PPMT($D$18,B134,$K$9,-$J$10),IF($D$8=Variables!$B$5,PPMT($D$18,B134-12,$K$9-12,-$C$45),IF(AND($D$8=Variables!$B$4,$D$15="si"),0,PPMT($D$18,B134-18,$K$9-18,-$J$10-SUM($L$34:$L$51))))))+IF(AND($D$8=Variables!$B$4,'Sim Reg N° 800'!$D$15="SI"),PPMT($D$18,B134-24,$K$9-24,-$J$10-SUM($M$34:$M$57))))</f>
        <v>229.75999049744811</v>
      </c>
      <c r="E134" s="14">
        <f>IF(B134&gt;$K$9,"",IF($D$8=Variables!$B$3,IPMT($D$18,B134,$K$9,-$J$10),IF($D$8=Variables!$B$6,IPMT($D$18,B134,$K$9,-$J$10),IF($D$8=Variables!$B$5,IPMT($D$18,B134-12,$K$9-12,-$C$45),IF(AND($D$8=Variables!$B$4,$D$15="si"),0,IPMT($D$18,B134-18,$K$9-18,-$J$10-SUM($L$34:$L$51))))))+IF(AND($D$8=Variables!$B$4,'Sim Reg N° 800'!$D$15="SI"),IPMT($D$18,B134-24,$K$9-24,-$J$10-SUM($M$34:$M$57))))</f>
        <v>378.26238129360866</v>
      </c>
      <c r="F134" s="14">
        <f>IF(B134&gt;$K$9,"",IF(AND($D$8=Variables!$B$3,$D$12="SI",$D$19="NO",$D$13="SI",B134&gt;=7),(PMT(0.06/12,$K$9,-$C$33)-PMT(0.045/12,$K$9,-$C$33)),IF(AND($D$8=Variables!$B$5,$D$19="NO",$D$12="SI",$D$13="SI",B134&gt;12),(PMT(0.06/12,$K$9,-$C$45)-PMT(0.045/12,$K$9,-$C$45)),IF(AND($D$8=Variables!$B$4,$D$12="SI",$D$19="NO",$D$13="SI",$D$15="NO",B134&gt;18),(PMT(0.06/12,$K$9,-$C$51)-PMT(0.045/12,$K$9,-$C$51)),IF(AND($D$8=Variables!$B$4,$D$12="SI",$D$19="NO",$D$13="SI",$D$15="SI",B134&gt;24),(PMT(0.06/12,$K$9,-$C$57)-PMT(0.045/12,$K$9,-$C$57)),0)))))</f>
        <v>111.43825839224587</v>
      </c>
      <c r="G134" s="14">
        <f>+IF(B134&gt;$K$9,"",IF($D$8=Variables!$B$6,0.21*IPMT('Sim Reg N° 800'!$D$18,'Sim Reg N° 800'!B134,'Sim Reg N° 800'!$K$9,-'Sim Reg N° 800'!$J$10),0))+F134*0.21</f>
        <v>23.402034262371632</v>
      </c>
      <c r="H134" s="14">
        <f t="shared" si="11"/>
        <v>742.86266444567423</v>
      </c>
      <c r="I134" s="14">
        <f t="shared" si="9"/>
        <v>0</v>
      </c>
      <c r="J134" s="14">
        <f t="shared" si="10"/>
        <v>742.86266444567423</v>
      </c>
      <c r="K134" s="26">
        <f t="shared" si="12"/>
        <v>222.85879933370225</v>
      </c>
      <c r="L134" s="21"/>
      <c r="M134" s="19"/>
      <c r="R134" s="20"/>
    </row>
    <row r="135" spans="1:18" hidden="1" x14ac:dyDescent="0.2">
      <c r="A135" s="7"/>
      <c r="B135" s="42">
        <v>102</v>
      </c>
      <c r="C135" s="14">
        <f t="shared" si="8"/>
        <v>100409.58676400306</v>
      </c>
      <c r="D135" s="14">
        <f>IF(B135&gt;$K$9,"",IF($D$8=Variables!$B$3,PPMT($D$18,B135,$K$9,-$J$10),IF($D$8=Variables!$B$6,PPMT($D$18,B135,$K$9,-$J$10),IF($D$8=Variables!$B$5,PPMT($D$18,B135-12,$K$9-12,-$C$45),IF(AND($D$8=Variables!$B$4,$D$15="si"),0,PPMT($D$18,B135-18,$K$9-18,-$J$10-SUM($L$34:$L$51))))))+IF(AND($D$8=Variables!$B$4,'Sim Reg N° 800'!$D$15="SI"),PPMT($D$18,B135-24,$K$9-24,-$J$10-SUM($M$34:$M$57))))</f>
        <v>230.62159046181353</v>
      </c>
      <c r="E135" s="14">
        <f>IF(B135&gt;$K$9,"",IF($D$8=Variables!$B$3,IPMT($D$18,B135,$K$9,-$J$10),IF($D$8=Variables!$B$6,IPMT($D$18,B135,$K$9,-$J$10),IF($D$8=Variables!$B$5,IPMT($D$18,B135-12,$K$9-12,-$C$45),IF(AND($D$8=Variables!$B$4,$D$15="si"),0,IPMT($D$18,B135-18,$K$9-18,-$J$10-SUM($L$34:$L$51))))))+IF(AND($D$8=Variables!$B$4,'Sim Reg N° 800'!$D$15="SI"),IPMT($D$18,B135-24,$K$9-24,-$J$10-SUM($M$34:$M$57))))</f>
        <v>377.40078132924327</v>
      </c>
      <c r="F135" s="14">
        <f>IF(B135&gt;$K$9,"",IF(AND($D$8=Variables!$B$3,$D$12="SI",$D$19="NO",$D$13="SI",B135&gt;=7),(PMT(0.06/12,$K$9,-$C$33)-PMT(0.045/12,$K$9,-$C$33)),IF(AND($D$8=Variables!$B$5,$D$19="NO",$D$12="SI",$D$13="SI",B135&gt;12),(PMT(0.06/12,$K$9,-$C$45)-PMT(0.045/12,$K$9,-$C$45)),IF(AND($D$8=Variables!$B$4,$D$12="SI",$D$19="NO",$D$13="SI",$D$15="NO",B135&gt;18),(PMT(0.06/12,$K$9,-$C$51)-PMT(0.045/12,$K$9,-$C$51)),IF(AND($D$8=Variables!$B$4,$D$12="SI",$D$19="NO",$D$13="SI",$D$15="SI",B135&gt;24),(PMT(0.06/12,$K$9,-$C$57)-PMT(0.045/12,$K$9,-$C$57)),0)))))</f>
        <v>111.43825839224587</v>
      </c>
      <c r="G135" s="14">
        <f>+IF(B135&gt;$K$9,"",IF($D$8=Variables!$B$6,0.21*IPMT('Sim Reg N° 800'!$D$18,'Sim Reg N° 800'!B135,'Sim Reg N° 800'!$K$9,-'Sim Reg N° 800'!$J$10),0))+F135*0.21</f>
        <v>23.402034262371632</v>
      </c>
      <c r="H135" s="14">
        <f t="shared" si="11"/>
        <v>742.86266444567423</v>
      </c>
      <c r="I135" s="14">
        <f t="shared" si="9"/>
        <v>0</v>
      </c>
      <c r="J135" s="14">
        <f t="shared" si="10"/>
        <v>742.86266444567423</v>
      </c>
      <c r="K135" s="26">
        <f t="shared" si="12"/>
        <v>222.85879933370225</v>
      </c>
      <c r="L135" s="21"/>
      <c r="M135" s="19"/>
      <c r="R135" s="20"/>
    </row>
    <row r="136" spans="1:18" hidden="1" x14ac:dyDescent="0.2">
      <c r="A136" s="7"/>
      <c r="B136" s="42">
        <v>103</v>
      </c>
      <c r="C136" s="14">
        <f t="shared" si="8"/>
        <v>100178.10034257702</v>
      </c>
      <c r="D136" s="14">
        <f>IF(B136&gt;$K$9,"",IF($D$8=Variables!$B$3,PPMT($D$18,B136,$K$9,-$J$10),IF($D$8=Variables!$B$6,PPMT($D$18,B136,$K$9,-$J$10),IF($D$8=Variables!$B$5,PPMT($D$18,B136-12,$K$9-12,-$C$45),IF(AND($D$8=Variables!$B$4,$D$15="si"),0,PPMT($D$18,B136-18,$K$9-18,-$J$10-SUM($L$34:$L$51))))))+IF(AND($D$8=Variables!$B$4,'Sim Reg N° 800'!$D$15="SI"),PPMT($D$18,B136-24,$K$9-24,-$J$10-SUM($M$34:$M$57))))</f>
        <v>231.48642142604533</v>
      </c>
      <c r="E136" s="14">
        <f>IF(B136&gt;$K$9,"",IF($D$8=Variables!$B$3,IPMT($D$18,B136,$K$9,-$J$10),IF($D$8=Variables!$B$6,IPMT($D$18,B136,$K$9,-$J$10),IF($D$8=Variables!$B$5,IPMT($D$18,B136-12,$K$9-12,-$C$45),IF(AND($D$8=Variables!$B$4,$D$15="si"),0,IPMT($D$18,B136-18,$K$9-18,-$J$10-SUM($L$34:$L$51))))))+IF(AND($D$8=Variables!$B$4,'Sim Reg N° 800'!$D$15="SI"),IPMT($D$18,B136-24,$K$9-24,-$J$10-SUM($M$34:$M$57))))</f>
        <v>376.53595036501144</v>
      </c>
      <c r="F136" s="14">
        <f>IF(B136&gt;$K$9,"",IF(AND($D$8=Variables!$B$3,$D$12="SI",$D$19="NO",$D$13="SI",B136&gt;=7),(PMT(0.06/12,$K$9,-$C$33)-PMT(0.045/12,$K$9,-$C$33)),IF(AND($D$8=Variables!$B$5,$D$19="NO",$D$12="SI",$D$13="SI",B136&gt;12),(PMT(0.06/12,$K$9,-$C$45)-PMT(0.045/12,$K$9,-$C$45)),IF(AND($D$8=Variables!$B$4,$D$12="SI",$D$19="NO",$D$13="SI",$D$15="NO",B136&gt;18),(PMT(0.06/12,$K$9,-$C$51)-PMT(0.045/12,$K$9,-$C$51)),IF(AND($D$8=Variables!$B$4,$D$12="SI",$D$19="NO",$D$13="SI",$D$15="SI",B136&gt;24),(PMT(0.06/12,$K$9,-$C$57)-PMT(0.045/12,$K$9,-$C$57)),0)))))</f>
        <v>111.43825839224587</v>
      </c>
      <c r="G136" s="14">
        <f>+IF(B136&gt;$K$9,"",IF($D$8=Variables!$B$6,0.21*IPMT('Sim Reg N° 800'!$D$18,'Sim Reg N° 800'!B136,'Sim Reg N° 800'!$K$9,-'Sim Reg N° 800'!$J$10),0))+F136*0.21</f>
        <v>23.402034262371632</v>
      </c>
      <c r="H136" s="14">
        <f t="shared" si="11"/>
        <v>742.86266444567423</v>
      </c>
      <c r="I136" s="14">
        <f t="shared" si="9"/>
        <v>0</v>
      </c>
      <c r="J136" s="14">
        <f t="shared" si="10"/>
        <v>742.86266444567423</v>
      </c>
      <c r="K136" s="26">
        <f t="shared" si="12"/>
        <v>222.85879933370225</v>
      </c>
      <c r="L136" s="21"/>
      <c r="M136" s="19"/>
      <c r="R136" s="20"/>
    </row>
    <row r="137" spans="1:18" hidden="1" x14ac:dyDescent="0.2">
      <c r="A137" s="7"/>
      <c r="B137" s="42">
        <v>104</v>
      </c>
      <c r="C137" s="14">
        <f t="shared" si="8"/>
        <v>99945.745847070619</v>
      </c>
      <c r="D137" s="14">
        <f>IF(B137&gt;$K$9,"",IF($D$8=Variables!$B$3,PPMT($D$18,B137,$K$9,-$J$10),IF($D$8=Variables!$B$6,PPMT($D$18,B137,$K$9,-$J$10),IF($D$8=Variables!$B$5,PPMT($D$18,B137-12,$K$9-12,-$C$45),IF(AND($D$8=Variables!$B$4,$D$15="si"),0,PPMT($D$18,B137-18,$K$9-18,-$J$10-SUM($L$34:$L$51))))))+IF(AND($D$8=Variables!$B$4,'Sim Reg N° 800'!$D$15="SI"),PPMT($D$18,B137-24,$K$9-24,-$J$10-SUM($M$34:$M$57))))</f>
        <v>232.35449550639299</v>
      </c>
      <c r="E137" s="14">
        <f>IF(B137&gt;$K$9,"",IF($D$8=Variables!$B$3,IPMT($D$18,B137,$K$9,-$J$10),IF($D$8=Variables!$B$6,IPMT($D$18,B137,$K$9,-$J$10),IF($D$8=Variables!$B$5,IPMT($D$18,B137-12,$K$9-12,-$C$45),IF(AND($D$8=Variables!$B$4,$D$15="si"),0,IPMT($D$18,B137-18,$K$9-18,-$J$10-SUM($L$34:$L$51))))))+IF(AND($D$8=Variables!$B$4,'Sim Reg N° 800'!$D$15="SI"),IPMT($D$18,B137-24,$K$9-24,-$J$10-SUM($M$34:$M$57))))</f>
        <v>375.66787628466392</v>
      </c>
      <c r="F137" s="14">
        <f>IF(B137&gt;$K$9,"",IF(AND($D$8=Variables!$B$3,$D$12="SI",$D$19="NO",$D$13="SI",B137&gt;=7),(PMT(0.06/12,$K$9,-$C$33)-PMT(0.045/12,$K$9,-$C$33)),IF(AND($D$8=Variables!$B$5,$D$19="NO",$D$12="SI",$D$13="SI",B137&gt;12),(PMT(0.06/12,$K$9,-$C$45)-PMT(0.045/12,$K$9,-$C$45)),IF(AND($D$8=Variables!$B$4,$D$12="SI",$D$19="NO",$D$13="SI",$D$15="NO",B137&gt;18),(PMT(0.06/12,$K$9,-$C$51)-PMT(0.045/12,$K$9,-$C$51)),IF(AND($D$8=Variables!$B$4,$D$12="SI",$D$19="NO",$D$13="SI",$D$15="SI",B137&gt;24),(PMT(0.06/12,$K$9,-$C$57)-PMT(0.045/12,$K$9,-$C$57)),0)))))</f>
        <v>111.43825839224587</v>
      </c>
      <c r="G137" s="14">
        <f>+IF(B137&gt;$K$9,"",IF($D$8=Variables!$B$6,0.21*IPMT('Sim Reg N° 800'!$D$18,'Sim Reg N° 800'!B137,'Sim Reg N° 800'!$K$9,-'Sim Reg N° 800'!$J$10),0))+F137*0.21</f>
        <v>23.402034262371632</v>
      </c>
      <c r="H137" s="14">
        <f t="shared" si="11"/>
        <v>742.86266444567445</v>
      </c>
      <c r="I137" s="14">
        <f t="shared" si="9"/>
        <v>0</v>
      </c>
      <c r="J137" s="14">
        <f t="shared" si="10"/>
        <v>742.86266444567445</v>
      </c>
      <c r="K137" s="26">
        <f t="shared" si="12"/>
        <v>222.85879933370234</v>
      </c>
      <c r="L137" s="21"/>
      <c r="M137" s="19"/>
      <c r="R137" s="20"/>
    </row>
    <row r="138" spans="1:18" hidden="1" x14ac:dyDescent="0.2">
      <c r="A138" s="7"/>
      <c r="B138" s="42">
        <v>105</v>
      </c>
      <c r="C138" s="14">
        <f t="shared" si="8"/>
        <v>99712.520022206081</v>
      </c>
      <c r="D138" s="14">
        <f>IF(B138&gt;$K$9,"",IF($D$8=Variables!$B$3,PPMT($D$18,B138,$K$9,-$J$10),IF($D$8=Variables!$B$6,PPMT($D$18,B138,$K$9,-$J$10),IF($D$8=Variables!$B$5,PPMT($D$18,B138-12,$K$9-12,-$C$45),IF(AND($D$8=Variables!$B$4,$D$15="si"),0,PPMT($D$18,B138-18,$K$9-18,-$J$10-SUM($L$34:$L$51))))))+IF(AND($D$8=Variables!$B$4,'Sim Reg N° 800'!$D$15="SI"),PPMT($D$18,B138-24,$K$9-24,-$J$10-SUM($M$34:$M$57))))</f>
        <v>233.22582486454198</v>
      </c>
      <c r="E138" s="14">
        <f>IF(B138&gt;$K$9,"",IF($D$8=Variables!$B$3,IPMT($D$18,B138,$K$9,-$J$10),IF($D$8=Variables!$B$6,IPMT($D$18,B138,$K$9,-$J$10),IF($D$8=Variables!$B$5,IPMT($D$18,B138-12,$K$9-12,-$C$45),IF(AND($D$8=Variables!$B$4,$D$15="si"),0,IPMT($D$18,B138-18,$K$9-18,-$J$10-SUM($L$34:$L$51))))))+IF(AND($D$8=Variables!$B$4,'Sim Reg N° 800'!$D$15="SI"),IPMT($D$18,B138-24,$K$9-24,-$J$10-SUM($M$34:$M$57))))</f>
        <v>374.79654692651485</v>
      </c>
      <c r="F138" s="14">
        <f>IF(B138&gt;$K$9,"",IF(AND($D$8=Variables!$B$3,$D$12="SI",$D$19="NO",$D$13="SI",B138&gt;=7),(PMT(0.06/12,$K$9,-$C$33)-PMT(0.045/12,$K$9,-$C$33)),IF(AND($D$8=Variables!$B$5,$D$19="NO",$D$12="SI",$D$13="SI",B138&gt;12),(PMT(0.06/12,$K$9,-$C$45)-PMT(0.045/12,$K$9,-$C$45)),IF(AND($D$8=Variables!$B$4,$D$12="SI",$D$19="NO",$D$13="SI",$D$15="NO",B138&gt;18),(PMT(0.06/12,$K$9,-$C$51)-PMT(0.045/12,$K$9,-$C$51)),IF(AND($D$8=Variables!$B$4,$D$12="SI",$D$19="NO",$D$13="SI",$D$15="SI",B138&gt;24),(PMT(0.06/12,$K$9,-$C$57)-PMT(0.045/12,$K$9,-$C$57)),0)))))</f>
        <v>111.43825839224587</v>
      </c>
      <c r="G138" s="14">
        <f>+IF(B138&gt;$K$9,"",IF($D$8=Variables!$B$6,0.21*IPMT('Sim Reg N° 800'!$D$18,'Sim Reg N° 800'!B138,'Sim Reg N° 800'!$K$9,-'Sim Reg N° 800'!$J$10),0))+F138*0.21</f>
        <v>23.402034262371632</v>
      </c>
      <c r="H138" s="14">
        <f t="shared" si="11"/>
        <v>742.86266444567434</v>
      </c>
      <c r="I138" s="14">
        <f t="shared" si="9"/>
        <v>0</v>
      </c>
      <c r="J138" s="14">
        <f t="shared" si="10"/>
        <v>742.86266444567434</v>
      </c>
      <c r="K138" s="26">
        <f t="shared" si="12"/>
        <v>222.85879933370231</v>
      </c>
      <c r="L138" s="21"/>
      <c r="M138" s="19"/>
      <c r="R138" s="20"/>
    </row>
    <row r="139" spans="1:18" hidden="1" x14ac:dyDescent="0.2">
      <c r="A139" s="7"/>
      <c r="B139" s="42">
        <v>106</v>
      </c>
      <c r="C139" s="14">
        <f t="shared" si="8"/>
        <v>99478.419600498295</v>
      </c>
      <c r="D139" s="14">
        <f>IF(B139&gt;$K$9,"",IF($D$8=Variables!$B$3,PPMT($D$18,B139,$K$9,-$J$10),IF($D$8=Variables!$B$6,PPMT($D$18,B139,$K$9,-$J$10),IF($D$8=Variables!$B$5,PPMT($D$18,B139-12,$K$9-12,-$C$45),IF(AND($D$8=Variables!$B$4,$D$15="si"),0,PPMT($D$18,B139-18,$K$9-18,-$J$10-SUM($L$34:$L$51))))))+IF(AND($D$8=Variables!$B$4,'Sim Reg N° 800'!$D$15="SI"),PPMT($D$18,B139-24,$K$9-24,-$J$10-SUM($M$34:$M$57))))</f>
        <v>234.10042170778402</v>
      </c>
      <c r="E139" s="14">
        <f>IF(B139&gt;$K$9,"",IF($D$8=Variables!$B$3,IPMT($D$18,B139,$K$9,-$J$10),IF($D$8=Variables!$B$6,IPMT($D$18,B139,$K$9,-$J$10),IF($D$8=Variables!$B$5,IPMT($D$18,B139-12,$K$9-12,-$C$45),IF(AND($D$8=Variables!$B$4,$D$15="si"),0,IPMT($D$18,B139-18,$K$9-18,-$J$10-SUM($L$34:$L$51))))))+IF(AND($D$8=Variables!$B$4,'Sim Reg N° 800'!$D$15="SI"),IPMT($D$18,B139-24,$K$9-24,-$J$10-SUM($M$34:$M$57))))</f>
        <v>373.92195008327286</v>
      </c>
      <c r="F139" s="14">
        <f>IF(B139&gt;$K$9,"",IF(AND($D$8=Variables!$B$3,$D$12="SI",$D$19="NO",$D$13="SI",B139&gt;=7),(PMT(0.06/12,$K$9,-$C$33)-PMT(0.045/12,$K$9,-$C$33)),IF(AND($D$8=Variables!$B$5,$D$19="NO",$D$12="SI",$D$13="SI",B139&gt;12),(PMT(0.06/12,$K$9,-$C$45)-PMT(0.045/12,$K$9,-$C$45)),IF(AND($D$8=Variables!$B$4,$D$12="SI",$D$19="NO",$D$13="SI",$D$15="NO",B139&gt;18),(PMT(0.06/12,$K$9,-$C$51)-PMT(0.045/12,$K$9,-$C$51)),IF(AND($D$8=Variables!$B$4,$D$12="SI",$D$19="NO",$D$13="SI",$D$15="SI",B139&gt;24),(PMT(0.06/12,$K$9,-$C$57)-PMT(0.045/12,$K$9,-$C$57)),0)))))</f>
        <v>111.43825839224587</v>
      </c>
      <c r="G139" s="14">
        <f>+IF(B139&gt;$K$9,"",IF($D$8=Variables!$B$6,0.21*IPMT('Sim Reg N° 800'!$D$18,'Sim Reg N° 800'!B139,'Sim Reg N° 800'!$K$9,-'Sim Reg N° 800'!$J$10),0))+F139*0.21</f>
        <v>23.402034262371632</v>
      </c>
      <c r="H139" s="14">
        <f t="shared" si="11"/>
        <v>742.86266444567434</v>
      </c>
      <c r="I139" s="14">
        <f t="shared" si="9"/>
        <v>0</v>
      </c>
      <c r="J139" s="14">
        <f t="shared" si="10"/>
        <v>742.86266444567434</v>
      </c>
      <c r="K139" s="26">
        <f t="shared" si="12"/>
        <v>222.85879933370231</v>
      </c>
      <c r="L139" s="21"/>
      <c r="M139" s="19"/>
      <c r="R139" s="20"/>
    </row>
    <row r="140" spans="1:18" hidden="1" x14ac:dyDescent="0.2">
      <c r="A140" s="7"/>
      <c r="B140" s="42">
        <v>107</v>
      </c>
      <c r="C140" s="14">
        <f t="shared" si="8"/>
        <v>99243.441302209103</v>
      </c>
      <c r="D140" s="14">
        <f>IF(B140&gt;$K$9,"",IF($D$8=Variables!$B$3,PPMT($D$18,B140,$K$9,-$J$10),IF($D$8=Variables!$B$6,PPMT($D$18,B140,$K$9,-$J$10),IF($D$8=Variables!$B$5,PPMT($D$18,B140-12,$K$9-12,-$C$45),IF(AND($D$8=Variables!$B$4,$D$15="si"),0,PPMT($D$18,B140-18,$K$9-18,-$J$10-SUM($L$34:$L$51))))))+IF(AND($D$8=Variables!$B$4,'Sim Reg N° 800'!$D$15="SI"),PPMT($D$18,B140-24,$K$9-24,-$J$10-SUM($M$34:$M$57))))</f>
        <v>234.97829828918822</v>
      </c>
      <c r="E140" s="14">
        <f>IF(B140&gt;$K$9,"",IF($D$8=Variables!$B$3,IPMT($D$18,B140,$K$9,-$J$10),IF($D$8=Variables!$B$6,IPMT($D$18,B140,$K$9,-$J$10),IF($D$8=Variables!$B$5,IPMT($D$18,B140-12,$K$9-12,-$C$45),IF(AND($D$8=Variables!$B$4,$D$15="si"),0,IPMT($D$18,B140-18,$K$9-18,-$J$10-SUM($L$34:$L$51))))))+IF(AND($D$8=Variables!$B$4,'Sim Reg N° 800'!$D$15="SI"),IPMT($D$18,B140-24,$K$9-24,-$J$10-SUM($M$34:$M$57))))</f>
        <v>373.04407350186864</v>
      </c>
      <c r="F140" s="14">
        <f>IF(B140&gt;$K$9,"",IF(AND($D$8=Variables!$B$3,$D$12="SI",$D$19="NO",$D$13="SI",B140&gt;=7),(PMT(0.06/12,$K$9,-$C$33)-PMT(0.045/12,$K$9,-$C$33)),IF(AND($D$8=Variables!$B$5,$D$19="NO",$D$12="SI",$D$13="SI",B140&gt;12),(PMT(0.06/12,$K$9,-$C$45)-PMT(0.045/12,$K$9,-$C$45)),IF(AND($D$8=Variables!$B$4,$D$12="SI",$D$19="NO",$D$13="SI",$D$15="NO",B140&gt;18),(PMT(0.06/12,$K$9,-$C$51)-PMT(0.045/12,$K$9,-$C$51)),IF(AND($D$8=Variables!$B$4,$D$12="SI",$D$19="NO",$D$13="SI",$D$15="SI",B140&gt;24),(PMT(0.06/12,$K$9,-$C$57)-PMT(0.045/12,$K$9,-$C$57)),0)))))</f>
        <v>111.43825839224587</v>
      </c>
      <c r="G140" s="14">
        <f>+IF(B140&gt;$K$9,"",IF($D$8=Variables!$B$6,0.21*IPMT('Sim Reg N° 800'!$D$18,'Sim Reg N° 800'!B140,'Sim Reg N° 800'!$K$9,-'Sim Reg N° 800'!$J$10),0))+F140*0.21</f>
        <v>23.402034262371632</v>
      </c>
      <c r="H140" s="14">
        <f t="shared" si="11"/>
        <v>742.86266444567434</v>
      </c>
      <c r="I140" s="14">
        <f t="shared" si="9"/>
        <v>0</v>
      </c>
      <c r="J140" s="14">
        <f t="shared" si="10"/>
        <v>742.86266444567434</v>
      </c>
      <c r="K140" s="26">
        <f t="shared" si="12"/>
        <v>222.85879933370231</v>
      </c>
      <c r="L140" s="21"/>
      <c r="M140" s="19"/>
      <c r="R140" s="20"/>
    </row>
    <row r="141" spans="1:18" hidden="1" x14ac:dyDescent="0.2">
      <c r="A141" s="7"/>
      <c r="B141" s="42">
        <v>108</v>
      </c>
      <c r="C141" s="14">
        <f t="shared" si="8"/>
        <v>99007.581835301331</v>
      </c>
      <c r="D141" s="14">
        <f>IF(B141&gt;$K$9,"",IF($D$8=Variables!$B$3,PPMT($D$18,B141,$K$9,-$J$10),IF($D$8=Variables!$B$6,PPMT($D$18,B141,$K$9,-$J$10),IF($D$8=Variables!$B$5,PPMT($D$18,B141-12,$K$9-12,-$C$45),IF(AND($D$8=Variables!$B$4,$D$15="si"),0,PPMT($D$18,B141-18,$K$9-18,-$J$10-SUM($L$34:$L$51))))))+IF(AND($D$8=Variables!$B$4,'Sim Reg N° 800'!$D$15="SI"),PPMT($D$18,B141-24,$K$9-24,-$J$10-SUM($M$34:$M$57))))</f>
        <v>235.85946690777266</v>
      </c>
      <c r="E141" s="14">
        <f>IF(B141&gt;$K$9,"",IF($D$8=Variables!$B$3,IPMT($D$18,B141,$K$9,-$J$10),IF($D$8=Variables!$B$6,IPMT($D$18,B141,$K$9,-$J$10),IF($D$8=Variables!$B$5,IPMT($D$18,B141-12,$K$9-12,-$C$45),IF(AND($D$8=Variables!$B$4,$D$15="si"),0,IPMT($D$18,B141-18,$K$9-18,-$J$10-SUM($L$34:$L$51))))))+IF(AND($D$8=Variables!$B$4,'Sim Reg N° 800'!$D$15="SI"),IPMT($D$18,B141-24,$K$9-24,-$J$10-SUM($M$34:$M$57))))</f>
        <v>372.16290488328417</v>
      </c>
      <c r="F141" s="14">
        <f>IF(B141&gt;$K$9,"",IF(AND($D$8=Variables!$B$3,$D$12="SI",$D$19="NO",$D$13="SI",B141&gt;=7),(PMT(0.06/12,$K$9,-$C$33)-PMT(0.045/12,$K$9,-$C$33)),IF(AND($D$8=Variables!$B$5,$D$19="NO",$D$12="SI",$D$13="SI",B141&gt;12),(PMT(0.06/12,$K$9,-$C$45)-PMT(0.045/12,$K$9,-$C$45)),IF(AND($D$8=Variables!$B$4,$D$12="SI",$D$19="NO",$D$13="SI",$D$15="NO",B141&gt;18),(PMT(0.06/12,$K$9,-$C$51)-PMT(0.045/12,$K$9,-$C$51)),IF(AND($D$8=Variables!$B$4,$D$12="SI",$D$19="NO",$D$13="SI",$D$15="SI",B141&gt;24),(PMT(0.06/12,$K$9,-$C$57)-PMT(0.045/12,$K$9,-$C$57)),0)))))</f>
        <v>111.43825839224587</v>
      </c>
      <c r="G141" s="14">
        <f>+IF(B141&gt;$K$9,"",IF($D$8=Variables!$B$6,0.21*IPMT('Sim Reg N° 800'!$D$18,'Sim Reg N° 800'!B141,'Sim Reg N° 800'!$K$9,-'Sim Reg N° 800'!$J$10),0))+F141*0.21</f>
        <v>23.402034262371632</v>
      </c>
      <c r="H141" s="14">
        <f t="shared" si="11"/>
        <v>742.86266444567434</v>
      </c>
      <c r="I141" s="14">
        <f t="shared" si="9"/>
        <v>0</v>
      </c>
      <c r="J141" s="14">
        <f t="shared" si="10"/>
        <v>742.86266444567434</v>
      </c>
      <c r="K141" s="26">
        <f t="shared" si="12"/>
        <v>222.85879933370231</v>
      </c>
      <c r="L141" s="21"/>
      <c r="M141" s="19"/>
      <c r="R141" s="20"/>
    </row>
    <row r="142" spans="1:18" hidden="1" x14ac:dyDescent="0.2">
      <c r="A142" s="7"/>
      <c r="B142" s="42">
        <v>109</v>
      </c>
      <c r="C142" s="14">
        <f t="shared" si="8"/>
        <v>98770.837895392659</v>
      </c>
      <c r="D142" s="14">
        <f>IF(B142&gt;$K$9,"",IF($D$8=Variables!$B$3,PPMT($D$18,B142,$K$9,-$J$10),IF($D$8=Variables!$B$6,PPMT($D$18,B142,$K$9,-$J$10),IF($D$8=Variables!$B$5,PPMT($D$18,B142-12,$K$9-12,-$C$45),IF(AND($D$8=Variables!$B$4,$D$15="si"),0,PPMT($D$18,B142-18,$K$9-18,-$J$10-SUM($L$34:$L$51))))))+IF(AND($D$8=Variables!$B$4,'Sim Reg N° 800'!$D$15="SI"),PPMT($D$18,B142-24,$K$9-24,-$J$10-SUM($M$34:$M$57))))</f>
        <v>236.74393990867682</v>
      </c>
      <c r="E142" s="14">
        <f>IF(B142&gt;$K$9,"",IF($D$8=Variables!$B$3,IPMT($D$18,B142,$K$9,-$J$10),IF($D$8=Variables!$B$6,IPMT($D$18,B142,$K$9,-$J$10),IF($D$8=Variables!$B$5,IPMT($D$18,B142-12,$K$9-12,-$C$45),IF(AND($D$8=Variables!$B$4,$D$15="si"),0,IPMT($D$18,B142-18,$K$9-18,-$J$10-SUM($L$34:$L$51))))))+IF(AND($D$8=Variables!$B$4,'Sim Reg N° 800'!$D$15="SI"),IPMT($D$18,B142-24,$K$9-24,-$J$10-SUM($M$34:$M$57))))</f>
        <v>371.27843188238</v>
      </c>
      <c r="F142" s="14">
        <f>IF(B142&gt;$K$9,"",IF(AND($D$8=Variables!$B$3,$D$12="SI",$D$19="NO",$D$13="SI",B142&gt;=7),(PMT(0.06/12,$K$9,-$C$33)-PMT(0.045/12,$K$9,-$C$33)),IF(AND($D$8=Variables!$B$5,$D$19="NO",$D$12="SI",$D$13="SI",B142&gt;12),(PMT(0.06/12,$K$9,-$C$45)-PMT(0.045/12,$K$9,-$C$45)),IF(AND($D$8=Variables!$B$4,$D$12="SI",$D$19="NO",$D$13="SI",$D$15="NO",B142&gt;18),(PMT(0.06/12,$K$9,-$C$51)-PMT(0.045/12,$K$9,-$C$51)),IF(AND($D$8=Variables!$B$4,$D$12="SI",$D$19="NO",$D$13="SI",$D$15="SI",B142&gt;24),(PMT(0.06/12,$K$9,-$C$57)-PMT(0.045/12,$K$9,-$C$57)),0)))))</f>
        <v>111.43825839224587</v>
      </c>
      <c r="G142" s="14">
        <f>+IF(B142&gt;$K$9,"",IF($D$8=Variables!$B$6,0.21*IPMT('Sim Reg N° 800'!$D$18,'Sim Reg N° 800'!B142,'Sim Reg N° 800'!$K$9,-'Sim Reg N° 800'!$J$10),0))+F142*0.21</f>
        <v>23.402034262371632</v>
      </c>
      <c r="H142" s="14">
        <f t="shared" si="11"/>
        <v>742.86266444567434</v>
      </c>
      <c r="I142" s="14">
        <f t="shared" si="9"/>
        <v>95.999999999999986</v>
      </c>
      <c r="J142" s="14">
        <f t="shared" si="10"/>
        <v>838.86266444567434</v>
      </c>
      <c r="K142" s="26">
        <f t="shared" si="12"/>
        <v>251.65879933370229</v>
      </c>
      <c r="L142" s="21"/>
      <c r="M142" s="19"/>
      <c r="R142" s="20"/>
    </row>
    <row r="143" spans="1:18" hidden="1" x14ac:dyDescent="0.2">
      <c r="A143" s="7"/>
      <c r="B143" s="42">
        <v>110</v>
      </c>
      <c r="C143" s="14">
        <f t="shared" si="8"/>
        <v>98533.206165709329</v>
      </c>
      <c r="D143" s="14">
        <f>IF(B143&gt;$K$9,"",IF($D$8=Variables!$B$3,PPMT($D$18,B143,$K$9,-$J$10),IF($D$8=Variables!$B$6,PPMT($D$18,B143,$K$9,-$J$10),IF($D$8=Variables!$B$5,PPMT($D$18,B143-12,$K$9-12,-$C$45),IF(AND($D$8=Variables!$B$4,$D$15="si"),0,PPMT($D$18,B143-18,$K$9-18,-$J$10-SUM($L$34:$L$51))))))+IF(AND($D$8=Variables!$B$4,'Sim Reg N° 800'!$D$15="SI"),PPMT($D$18,B143-24,$K$9-24,-$J$10-SUM($M$34:$M$57))))</f>
        <v>237.63172968333433</v>
      </c>
      <c r="E143" s="14">
        <f>IF(B143&gt;$K$9,"",IF($D$8=Variables!$B$3,IPMT($D$18,B143,$K$9,-$J$10),IF($D$8=Variables!$B$6,IPMT($D$18,B143,$K$9,-$J$10),IF($D$8=Variables!$B$5,IPMT($D$18,B143-12,$K$9-12,-$C$45),IF(AND($D$8=Variables!$B$4,$D$15="si"),0,IPMT($D$18,B143-18,$K$9-18,-$J$10-SUM($L$34:$L$51))))))+IF(AND($D$8=Variables!$B$4,'Sim Reg N° 800'!$D$15="SI"),IPMT($D$18,B143-24,$K$9-24,-$J$10-SUM($M$34:$M$57))))</f>
        <v>370.3906421077225</v>
      </c>
      <c r="F143" s="14">
        <f>IF(B143&gt;$K$9,"",IF(AND($D$8=Variables!$B$3,$D$12="SI",$D$19="NO",$D$13="SI",B143&gt;=7),(PMT(0.06/12,$K$9,-$C$33)-PMT(0.045/12,$K$9,-$C$33)),IF(AND($D$8=Variables!$B$5,$D$19="NO",$D$12="SI",$D$13="SI",B143&gt;12),(PMT(0.06/12,$K$9,-$C$45)-PMT(0.045/12,$K$9,-$C$45)),IF(AND($D$8=Variables!$B$4,$D$12="SI",$D$19="NO",$D$13="SI",$D$15="NO",B143&gt;18),(PMT(0.06/12,$K$9,-$C$51)-PMT(0.045/12,$K$9,-$C$51)),IF(AND($D$8=Variables!$B$4,$D$12="SI",$D$19="NO",$D$13="SI",$D$15="SI",B143&gt;24),(PMT(0.06/12,$K$9,-$C$57)-PMT(0.045/12,$K$9,-$C$57)),0)))))</f>
        <v>111.43825839224587</v>
      </c>
      <c r="G143" s="14">
        <f>+IF(B143&gt;$K$9,"",IF($D$8=Variables!$B$6,0.21*IPMT('Sim Reg N° 800'!$D$18,'Sim Reg N° 800'!B143,'Sim Reg N° 800'!$K$9,-'Sim Reg N° 800'!$J$10),0))+F143*0.21</f>
        <v>23.402034262371632</v>
      </c>
      <c r="H143" s="14">
        <f t="shared" si="11"/>
        <v>742.86266444567434</v>
      </c>
      <c r="I143" s="14">
        <f t="shared" si="9"/>
        <v>0</v>
      </c>
      <c r="J143" s="14">
        <f t="shared" si="10"/>
        <v>742.86266444567434</v>
      </c>
      <c r="K143" s="26">
        <f t="shared" si="12"/>
        <v>222.85879933370231</v>
      </c>
      <c r="L143" s="21"/>
      <c r="M143" s="19"/>
      <c r="R143" s="20"/>
    </row>
    <row r="144" spans="1:18" hidden="1" x14ac:dyDescent="0.2">
      <c r="A144" s="7"/>
      <c r="B144" s="42">
        <v>111</v>
      </c>
      <c r="C144" s="14">
        <f t="shared" si="8"/>
        <v>98294.683317039686</v>
      </c>
      <c r="D144" s="14">
        <f>IF(B144&gt;$K$9,"",IF($D$8=Variables!$B$3,PPMT($D$18,B144,$K$9,-$J$10),IF($D$8=Variables!$B$6,PPMT($D$18,B144,$K$9,-$J$10),IF($D$8=Variables!$B$5,PPMT($D$18,B144-12,$K$9-12,-$C$45),IF(AND($D$8=Variables!$B$4,$D$15="si"),0,PPMT($D$18,B144-18,$K$9-18,-$J$10-SUM($L$34:$L$51))))))+IF(AND($D$8=Variables!$B$4,'Sim Reg N° 800'!$D$15="SI"),PPMT($D$18,B144-24,$K$9-24,-$J$10-SUM($M$34:$M$57))))</f>
        <v>238.52284866964686</v>
      </c>
      <c r="E144" s="14">
        <f>IF(B144&gt;$K$9,"",IF($D$8=Variables!$B$3,IPMT($D$18,B144,$K$9,-$J$10),IF($D$8=Variables!$B$6,IPMT($D$18,B144,$K$9,-$J$10),IF($D$8=Variables!$B$5,IPMT($D$18,B144-12,$K$9-12,-$C$45),IF(AND($D$8=Variables!$B$4,$D$15="si"),0,IPMT($D$18,B144-18,$K$9-18,-$J$10-SUM($L$34:$L$51))))))+IF(AND($D$8=Variables!$B$4,'Sim Reg N° 800'!$D$15="SI"),IPMT($D$18,B144-24,$K$9-24,-$J$10-SUM($M$34:$M$57))))</f>
        <v>369.49952312141005</v>
      </c>
      <c r="F144" s="14">
        <f>IF(B144&gt;$K$9,"",IF(AND($D$8=Variables!$B$3,$D$12="SI",$D$19="NO",$D$13="SI",B144&gt;=7),(PMT(0.06/12,$K$9,-$C$33)-PMT(0.045/12,$K$9,-$C$33)),IF(AND($D$8=Variables!$B$5,$D$19="NO",$D$12="SI",$D$13="SI",B144&gt;12),(PMT(0.06/12,$K$9,-$C$45)-PMT(0.045/12,$K$9,-$C$45)),IF(AND($D$8=Variables!$B$4,$D$12="SI",$D$19="NO",$D$13="SI",$D$15="NO",B144&gt;18),(PMT(0.06/12,$K$9,-$C$51)-PMT(0.045/12,$K$9,-$C$51)),IF(AND($D$8=Variables!$B$4,$D$12="SI",$D$19="NO",$D$13="SI",$D$15="SI",B144&gt;24),(PMT(0.06/12,$K$9,-$C$57)-PMT(0.045/12,$K$9,-$C$57)),0)))))</f>
        <v>111.43825839224587</v>
      </c>
      <c r="G144" s="14">
        <f>+IF(B144&gt;$K$9,"",IF($D$8=Variables!$B$6,0.21*IPMT('Sim Reg N° 800'!$D$18,'Sim Reg N° 800'!B144,'Sim Reg N° 800'!$K$9,-'Sim Reg N° 800'!$J$10),0))+F144*0.21</f>
        <v>23.402034262371632</v>
      </c>
      <c r="H144" s="14">
        <f t="shared" si="11"/>
        <v>742.86266444567445</v>
      </c>
      <c r="I144" s="14">
        <f t="shared" si="9"/>
        <v>0</v>
      </c>
      <c r="J144" s="14">
        <f t="shared" si="10"/>
        <v>742.86266444567445</v>
      </c>
      <c r="K144" s="26">
        <f t="shared" si="12"/>
        <v>222.85879933370234</v>
      </c>
      <c r="L144" s="21"/>
      <c r="M144" s="19"/>
      <c r="R144" s="20"/>
    </row>
    <row r="145" spans="1:18" hidden="1" x14ac:dyDescent="0.2">
      <c r="A145" s="7"/>
      <c r="B145" s="42">
        <v>112</v>
      </c>
      <c r="C145" s="14">
        <f t="shared" si="8"/>
        <v>98055.266007687533</v>
      </c>
      <c r="D145" s="14">
        <f>IF(B145&gt;$K$9,"",IF($D$8=Variables!$B$3,PPMT($D$18,B145,$K$9,-$J$10),IF($D$8=Variables!$B$6,PPMT($D$18,B145,$K$9,-$J$10),IF($D$8=Variables!$B$5,PPMT($D$18,B145-12,$K$9-12,-$C$45),IF(AND($D$8=Variables!$B$4,$D$15="si"),0,PPMT($D$18,B145-18,$K$9-18,-$J$10-SUM($L$34:$L$51))))))+IF(AND($D$8=Variables!$B$4,'Sim Reg N° 800'!$D$15="SI"),PPMT($D$18,B145-24,$K$9-24,-$J$10-SUM($M$34:$M$57))))</f>
        <v>239.41730935215804</v>
      </c>
      <c r="E145" s="14">
        <f>IF(B145&gt;$K$9,"",IF($D$8=Variables!$B$3,IPMT($D$18,B145,$K$9,-$J$10),IF($D$8=Variables!$B$6,IPMT($D$18,B145,$K$9,-$J$10),IF($D$8=Variables!$B$5,IPMT($D$18,B145-12,$K$9-12,-$C$45),IF(AND($D$8=Variables!$B$4,$D$15="si"),0,IPMT($D$18,B145-18,$K$9-18,-$J$10-SUM($L$34:$L$51))))))+IF(AND($D$8=Variables!$B$4,'Sim Reg N° 800'!$D$15="SI"),IPMT($D$18,B145-24,$K$9-24,-$J$10-SUM($M$34:$M$57))))</f>
        <v>368.60506243889881</v>
      </c>
      <c r="F145" s="14">
        <f>IF(B145&gt;$K$9,"",IF(AND($D$8=Variables!$B$3,$D$12="SI",$D$19="NO",$D$13="SI",B145&gt;=7),(PMT(0.06/12,$K$9,-$C$33)-PMT(0.045/12,$K$9,-$C$33)),IF(AND($D$8=Variables!$B$5,$D$19="NO",$D$12="SI",$D$13="SI",B145&gt;12),(PMT(0.06/12,$K$9,-$C$45)-PMT(0.045/12,$K$9,-$C$45)),IF(AND($D$8=Variables!$B$4,$D$12="SI",$D$19="NO",$D$13="SI",$D$15="NO",B145&gt;18),(PMT(0.06/12,$K$9,-$C$51)-PMT(0.045/12,$K$9,-$C$51)),IF(AND($D$8=Variables!$B$4,$D$12="SI",$D$19="NO",$D$13="SI",$D$15="SI",B145&gt;24),(PMT(0.06/12,$K$9,-$C$57)-PMT(0.045/12,$K$9,-$C$57)),0)))))</f>
        <v>111.43825839224587</v>
      </c>
      <c r="G145" s="14">
        <f>+IF(B145&gt;$K$9,"",IF($D$8=Variables!$B$6,0.21*IPMT('Sim Reg N° 800'!$D$18,'Sim Reg N° 800'!B145,'Sim Reg N° 800'!$K$9,-'Sim Reg N° 800'!$J$10),0))+F145*0.21</f>
        <v>23.402034262371632</v>
      </c>
      <c r="H145" s="14">
        <f t="shared" si="11"/>
        <v>742.86266444567434</v>
      </c>
      <c r="I145" s="14">
        <f t="shared" si="9"/>
        <v>0</v>
      </c>
      <c r="J145" s="14">
        <f t="shared" si="10"/>
        <v>742.86266444567434</v>
      </c>
      <c r="K145" s="26">
        <f t="shared" si="12"/>
        <v>222.85879933370231</v>
      </c>
      <c r="L145" s="21"/>
      <c r="M145" s="19"/>
      <c r="R145" s="20"/>
    </row>
    <row r="146" spans="1:18" hidden="1" x14ac:dyDescent="0.2">
      <c r="A146" s="7"/>
      <c r="B146" s="42">
        <v>113</v>
      </c>
      <c r="C146" s="14">
        <f t="shared" si="8"/>
        <v>97814.950883425307</v>
      </c>
      <c r="D146" s="14">
        <f>IF(B146&gt;$K$9,"",IF($D$8=Variables!$B$3,PPMT($D$18,B146,$K$9,-$J$10),IF($D$8=Variables!$B$6,PPMT($D$18,B146,$K$9,-$J$10),IF($D$8=Variables!$B$5,PPMT($D$18,B146-12,$K$9-12,-$C$45),IF(AND($D$8=Variables!$B$4,$D$15="si"),0,PPMT($D$18,B146-18,$K$9-18,-$J$10-SUM($L$34:$L$51))))))+IF(AND($D$8=Variables!$B$4,'Sim Reg N° 800'!$D$15="SI"),PPMT($D$18,B146-24,$K$9-24,-$J$10-SUM($M$34:$M$57))))</f>
        <v>240.31512426222864</v>
      </c>
      <c r="E146" s="14">
        <f>IF(B146&gt;$K$9,"",IF($D$8=Variables!$B$3,IPMT($D$18,B146,$K$9,-$J$10),IF($D$8=Variables!$B$6,IPMT($D$18,B146,$K$9,-$J$10),IF($D$8=Variables!$B$5,IPMT($D$18,B146-12,$K$9-12,-$C$45),IF(AND($D$8=Variables!$B$4,$D$15="si"),0,IPMT($D$18,B146-18,$K$9-18,-$J$10-SUM($L$34:$L$51))))))+IF(AND($D$8=Variables!$B$4,'Sim Reg N° 800'!$D$15="SI"),IPMT($D$18,B146-24,$K$9-24,-$J$10-SUM($M$34:$M$57))))</f>
        <v>367.7072475288283</v>
      </c>
      <c r="F146" s="14">
        <f>IF(B146&gt;$K$9,"",IF(AND($D$8=Variables!$B$3,$D$12="SI",$D$19="NO",$D$13="SI",B146&gt;=7),(PMT(0.06/12,$K$9,-$C$33)-PMT(0.045/12,$K$9,-$C$33)),IF(AND($D$8=Variables!$B$5,$D$19="NO",$D$12="SI",$D$13="SI",B146&gt;12),(PMT(0.06/12,$K$9,-$C$45)-PMT(0.045/12,$K$9,-$C$45)),IF(AND($D$8=Variables!$B$4,$D$12="SI",$D$19="NO",$D$13="SI",$D$15="NO",B146&gt;18),(PMT(0.06/12,$K$9,-$C$51)-PMT(0.045/12,$K$9,-$C$51)),IF(AND($D$8=Variables!$B$4,$D$12="SI",$D$19="NO",$D$13="SI",$D$15="SI",B146&gt;24),(PMT(0.06/12,$K$9,-$C$57)-PMT(0.045/12,$K$9,-$C$57)),0)))))</f>
        <v>111.43825839224587</v>
      </c>
      <c r="G146" s="14">
        <f>+IF(B146&gt;$K$9,"",IF($D$8=Variables!$B$6,0.21*IPMT('Sim Reg N° 800'!$D$18,'Sim Reg N° 800'!B146,'Sim Reg N° 800'!$K$9,-'Sim Reg N° 800'!$J$10),0))+F146*0.21</f>
        <v>23.402034262371632</v>
      </c>
      <c r="H146" s="14">
        <f t="shared" si="11"/>
        <v>742.86266444567445</v>
      </c>
      <c r="I146" s="14">
        <f t="shared" si="9"/>
        <v>0</v>
      </c>
      <c r="J146" s="14">
        <f t="shared" si="10"/>
        <v>742.86266444567445</v>
      </c>
      <c r="K146" s="26">
        <f t="shared" si="12"/>
        <v>222.85879933370234</v>
      </c>
      <c r="L146" s="21"/>
      <c r="M146" s="19"/>
      <c r="R146" s="20"/>
    </row>
    <row r="147" spans="1:18" hidden="1" x14ac:dyDescent="0.2">
      <c r="A147" s="7"/>
      <c r="B147" s="42">
        <v>114</v>
      </c>
      <c r="C147" s="14">
        <f t="shared" si="8"/>
        <v>97573.734577447089</v>
      </c>
      <c r="D147" s="14">
        <f>IF(B147&gt;$K$9,"",IF($D$8=Variables!$B$3,PPMT($D$18,B147,$K$9,-$J$10),IF($D$8=Variables!$B$6,PPMT($D$18,B147,$K$9,-$J$10),IF($D$8=Variables!$B$5,PPMT($D$18,B147-12,$K$9-12,-$C$45),IF(AND($D$8=Variables!$B$4,$D$15="si"),0,PPMT($D$18,B147-18,$K$9-18,-$J$10-SUM($L$34:$L$51))))))+IF(AND($D$8=Variables!$B$4,'Sim Reg N° 800'!$D$15="SI"),PPMT($D$18,B147-24,$K$9-24,-$J$10-SUM($M$34:$M$57))))</f>
        <v>241.21630597821198</v>
      </c>
      <c r="E147" s="14">
        <f>IF(B147&gt;$K$9,"",IF($D$8=Variables!$B$3,IPMT($D$18,B147,$K$9,-$J$10),IF($D$8=Variables!$B$6,IPMT($D$18,B147,$K$9,-$J$10),IF($D$8=Variables!$B$5,IPMT($D$18,B147-12,$K$9-12,-$C$45),IF(AND($D$8=Variables!$B$4,$D$15="si"),0,IPMT($D$18,B147-18,$K$9-18,-$J$10-SUM($L$34:$L$51))))))+IF(AND($D$8=Variables!$B$4,'Sim Reg N° 800'!$D$15="SI"),IPMT($D$18,B147-24,$K$9-24,-$J$10-SUM($M$34:$M$57))))</f>
        <v>366.80606581284491</v>
      </c>
      <c r="F147" s="14">
        <f>IF(B147&gt;$K$9,"",IF(AND($D$8=Variables!$B$3,$D$12="SI",$D$19="NO",$D$13="SI",B147&gt;=7),(PMT(0.06/12,$K$9,-$C$33)-PMT(0.045/12,$K$9,-$C$33)),IF(AND($D$8=Variables!$B$5,$D$19="NO",$D$12="SI",$D$13="SI",B147&gt;12),(PMT(0.06/12,$K$9,-$C$45)-PMT(0.045/12,$K$9,-$C$45)),IF(AND($D$8=Variables!$B$4,$D$12="SI",$D$19="NO",$D$13="SI",$D$15="NO",B147&gt;18),(PMT(0.06/12,$K$9,-$C$51)-PMT(0.045/12,$K$9,-$C$51)),IF(AND($D$8=Variables!$B$4,$D$12="SI",$D$19="NO",$D$13="SI",$D$15="SI",B147&gt;24),(PMT(0.06/12,$K$9,-$C$57)-PMT(0.045/12,$K$9,-$C$57)),0)))))</f>
        <v>111.43825839224587</v>
      </c>
      <c r="G147" s="14">
        <f>+IF(B147&gt;$K$9,"",IF($D$8=Variables!$B$6,0.21*IPMT('Sim Reg N° 800'!$D$18,'Sim Reg N° 800'!B147,'Sim Reg N° 800'!$K$9,-'Sim Reg N° 800'!$J$10),0))+F147*0.21</f>
        <v>23.402034262371632</v>
      </c>
      <c r="H147" s="14">
        <f t="shared" si="11"/>
        <v>742.86266444567434</v>
      </c>
      <c r="I147" s="14">
        <f t="shared" si="9"/>
        <v>0</v>
      </c>
      <c r="J147" s="14">
        <f t="shared" si="10"/>
        <v>742.86266444567434</v>
      </c>
      <c r="K147" s="26">
        <f t="shared" si="12"/>
        <v>222.85879933370231</v>
      </c>
      <c r="L147" s="21"/>
      <c r="M147" s="19"/>
      <c r="R147" s="20"/>
    </row>
    <row r="148" spans="1:18" hidden="1" x14ac:dyDescent="0.2">
      <c r="A148" s="7"/>
      <c r="B148" s="42">
        <v>115</v>
      </c>
      <c r="C148" s="14">
        <f t="shared" si="8"/>
        <v>97331.613710321457</v>
      </c>
      <c r="D148" s="14">
        <f>IF(B148&gt;$K$9,"",IF($D$8=Variables!$B$3,PPMT($D$18,B148,$K$9,-$J$10),IF($D$8=Variables!$B$6,PPMT($D$18,B148,$K$9,-$J$10),IF($D$8=Variables!$B$5,PPMT($D$18,B148-12,$K$9-12,-$C$45),IF(AND($D$8=Variables!$B$4,$D$15="si"),0,PPMT($D$18,B148-18,$K$9-18,-$J$10-SUM($L$34:$L$51))))))+IF(AND($D$8=Variables!$B$4,'Sim Reg N° 800'!$D$15="SI"),PPMT($D$18,B148-24,$K$9-24,-$J$10-SUM($M$34:$M$57))))</f>
        <v>242.12086712563027</v>
      </c>
      <c r="E148" s="14">
        <f>IF(B148&gt;$K$9,"",IF($D$8=Variables!$B$3,IPMT($D$18,B148,$K$9,-$J$10),IF($D$8=Variables!$B$6,IPMT($D$18,B148,$K$9,-$J$10),IF($D$8=Variables!$B$5,IPMT($D$18,B148-12,$K$9-12,-$C$45),IF(AND($D$8=Variables!$B$4,$D$15="si"),0,IPMT($D$18,B148-18,$K$9-18,-$J$10-SUM($L$34:$L$51))))))+IF(AND($D$8=Variables!$B$4,'Sim Reg N° 800'!$D$15="SI"),IPMT($D$18,B148-24,$K$9-24,-$J$10-SUM($M$34:$M$57))))</f>
        <v>365.90150466542656</v>
      </c>
      <c r="F148" s="14">
        <f>IF(B148&gt;$K$9,"",IF(AND($D$8=Variables!$B$3,$D$12="SI",$D$19="NO",$D$13="SI",B148&gt;=7),(PMT(0.06/12,$K$9,-$C$33)-PMT(0.045/12,$K$9,-$C$33)),IF(AND($D$8=Variables!$B$5,$D$19="NO",$D$12="SI",$D$13="SI",B148&gt;12),(PMT(0.06/12,$K$9,-$C$45)-PMT(0.045/12,$K$9,-$C$45)),IF(AND($D$8=Variables!$B$4,$D$12="SI",$D$19="NO",$D$13="SI",$D$15="NO",B148&gt;18),(PMT(0.06/12,$K$9,-$C$51)-PMT(0.045/12,$K$9,-$C$51)),IF(AND($D$8=Variables!$B$4,$D$12="SI",$D$19="NO",$D$13="SI",$D$15="SI",B148&gt;24),(PMT(0.06/12,$K$9,-$C$57)-PMT(0.045/12,$K$9,-$C$57)),0)))))</f>
        <v>111.43825839224587</v>
      </c>
      <c r="G148" s="14">
        <f>+IF(B148&gt;$K$9,"",IF($D$8=Variables!$B$6,0.21*IPMT('Sim Reg N° 800'!$D$18,'Sim Reg N° 800'!B148,'Sim Reg N° 800'!$K$9,-'Sim Reg N° 800'!$J$10),0))+F148*0.21</f>
        <v>23.402034262371632</v>
      </c>
      <c r="H148" s="14">
        <f t="shared" si="11"/>
        <v>742.86266444567434</v>
      </c>
      <c r="I148" s="14">
        <f t="shared" si="9"/>
        <v>0</v>
      </c>
      <c r="J148" s="14">
        <f t="shared" si="10"/>
        <v>742.86266444567434</v>
      </c>
      <c r="K148" s="26">
        <f t="shared" si="12"/>
        <v>222.85879933370231</v>
      </c>
      <c r="L148" s="21"/>
      <c r="M148" s="19"/>
      <c r="R148" s="20"/>
    </row>
    <row r="149" spans="1:18" hidden="1" x14ac:dyDescent="0.2">
      <c r="A149" s="7"/>
      <c r="B149" s="42">
        <v>116</v>
      </c>
      <c r="C149" s="14">
        <f t="shared" si="8"/>
        <v>97088.584889944104</v>
      </c>
      <c r="D149" s="14">
        <f>IF(B149&gt;$K$9,"",IF($D$8=Variables!$B$3,PPMT($D$18,B149,$K$9,-$J$10),IF($D$8=Variables!$B$6,PPMT($D$18,B149,$K$9,-$J$10),IF($D$8=Variables!$B$5,PPMT($D$18,B149-12,$K$9-12,-$C$45),IF(AND($D$8=Variables!$B$4,$D$15="si"),0,PPMT($D$18,B149-18,$K$9-18,-$J$10-SUM($L$34:$L$51))))))+IF(AND($D$8=Variables!$B$4,'Sim Reg N° 800'!$D$15="SI"),PPMT($D$18,B149-24,$K$9-24,-$J$10-SUM($M$34:$M$57))))</f>
        <v>243.02882037735139</v>
      </c>
      <c r="E149" s="14">
        <f>IF(B149&gt;$K$9,"",IF($D$8=Variables!$B$3,IPMT($D$18,B149,$K$9,-$J$10),IF($D$8=Variables!$B$6,IPMT($D$18,B149,$K$9,-$J$10),IF($D$8=Variables!$B$5,IPMT($D$18,B149-12,$K$9-12,-$C$45),IF(AND($D$8=Variables!$B$4,$D$15="si"),0,IPMT($D$18,B149-18,$K$9-18,-$J$10-SUM($L$34:$L$51))))))+IF(AND($D$8=Variables!$B$4,'Sim Reg N° 800'!$D$15="SI"),IPMT($D$18,B149-24,$K$9-24,-$J$10-SUM($M$34:$M$57))))</f>
        <v>364.99355141370546</v>
      </c>
      <c r="F149" s="14">
        <f>IF(B149&gt;$K$9,"",IF(AND($D$8=Variables!$B$3,$D$12="SI",$D$19="NO",$D$13="SI",B149&gt;=7),(PMT(0.06/12,$K$9,-$C$33)-PMT(0.045/12,$K$9,-$C$33)),IF(AND($D$8=Variables!$B$5,$D$19="NO",$D$12="SI",$D$13="SI",B149&gt;12),(PMT(0.06/12,$K$9,-$C$45)-PMT(0.045/12,$K$9,-$C$45)),IF(AND($D$8=Variables!$B$4,$D$12="SI",$D$19="NO",$D$13="SI",$D$15="NO",B149&gt;18),(PMT(0.06/12,$K$9,-$C$51)-PMT(0.045/12,$K$9,-$C$51)),IF(AND($D$8=Variables!$B$4,$D$12="SI",$D$19="NO",$D$13="SI",$D$15="SI",B149&gt;24),(PMT(0.06/12,$K$9,-$C$57)-PMT(0.045/12,$K$9,-$C$57)),0)))))</f>
        <v>111.43825839224587</v>
      </c>
      <c r="G149" s="14">
        <f>+IF(B149&gt;$K$9,"",IF($D$8=Variables!$B$6,0.21*IPMT('Sim Reg N° 800'!$D$18,'Sim Reg N° 800'!B149,'Sim Reg N° 800'!$K$9,-'Sim Reg N° 800'!$J$10),0))+F149*0.21</f>
        <v>23.402034262371632</v>
      </c>
      <c r="H149" s="14">
        <f t="shared" si="11"/>
        <v>742.86266444567434</v>
      </c>
      <c r="I149" s="14">
        <f t="shared" si="9"/>
        <v>0</v>
      </c>
      <c r="J149" s="14">
        <f t="shared" si="10"/>
        <v>742.86266444567434</v>
      </c>
      <c r="K149" s="26">
        <f t="shared" si="12"/>
        <v>222.85879933370231</v>
      </c>
      <c r="L149" s="21"/>
      <c r="M149" s="19"/>
      <c r="R149" s="20"/>
    </row>
    <row r="150" spans="1:18" hidden="1" x14ac:dyDescent="0.2">
      <c r="A150" s="7"/>
      <c r="B150" s="42">
        <v>117</v>
      </c>
      <c r="C150" s="14">
        <f t="shared" si="8"/>
        <v>96844.644711490342</v>
      </c>
      <c r="D150" s="14">
        <f>IF(B150&gt;$K$9,"",IF($D$8=Variables!$B$3,PPMT($D$18,B150,$K$9,-$J$10),IF($D$8=Variables!$B$6,PPMT($D$18,B150,$K$9,-$J$10),IF($D$8=Variables!$B$5,PPMT($D$18,B150-12,$K$9-12,-$C$45),IF(AND($D$8=Variables!$B$4,$D$15="si"),0,PPMT($D$18,B150-18,$K$9-18,-$J$10-SUM($L$34:$L$51))))))+IF(AND($D$8=Variables!$B$4,'Sim Reg N° 800'!$D$15="SI"),PPMT($D$18,B150-24,$K$9-24,-$J$10-SUM($M$34:$M$57))))</f>
        <v>243.94017845376646</v>
      </c>
      <c r="E150" s="14">
        <f>IF(B150&gt;$K$9,"",IF($D$8=Variables!$B$3,IPMT($D$18,B150,$K$9,-$J$10),IF($D$8=Variables!$B$6,IPMT($D$18,B150,$K$9,-$J$10),IF($D$8=Variables!$B$5,IPMT($D$18,B150-12,$K$9-12,-$C$45),IF(AND($D$8=Variables!$B$4,$D$15="si"),0,IPMT($D$18,B150-18,$K$9-18,-$J$10-SUM($L$34:$L$51))))))+IF(AND($D$8=Variables!$B$4,'Sim Reg N° 800'!$D$15="SI"),IPMT($D$18,B150-24,$K$9-24,-$J$10-SUM($M$34:$M$57))))</f>
        <v>364.08219333729045</v>
      </c>
      <c r="F150" s="14">
        <f>IF(B150&gt;$K$9,"",IF(AND($D$8=Variables!$B$3,$D$12="SI",$D$19="NO",$D$13="SI",B150&gt;=7),(PMT(0.06/12,$K$9,-$C$33)-PMT(0.045/12,$K$9,-$C$33)),IF(AND($D$8=Variables!$B$5,$D$19="NO",$D$12="SI",$D$13="SI",B150&gt;12),(PMT(0.06/12,$K$9,-$C$45)-PMT(0.045/12,$K$9,-$C$45)),IF(AND($D$8=Variables!$B$4,$D$12="SI",$D$19="NO",$D$13="SI",$D$15="NO",B150&gt;18),(PMT(0.06/12,$K$9,-$C$51)-PMT(0.045/12,$K$9,-$C$51)),IF(AND($D$8=Variables!$B$4,$D$12="SI",$D$19="NO",$D$13="SI",$D$15="SI",B150&gt;24),(PMT(0.06/12,$K$9,-$C$57)-PMT(0.045/12,$K$9,-$C$57)),0)))))</f>
        <v>111.43825839224587</v>
      </c>
      <c r="G150" s="14">
        <f>+IF(B150&gt;$K$9,"",IF($D$8=Variables!$B$6,0.21*IPMT('Sim Reg N° 800'!$D$18,'Sim Reg N° 800'!B150,'Sim Reg N° 800'!$K$9,-'Sim Reg N° 800'!$J$10),0))+F150*0.21</f>
        <v>23.402034262371632</v>
      </c>
      <c r="H150" s="14">
        <f t="shared" si="11"/>
        <v>742.86266444567445</v>
      </c>
      <c r="I150" s="14">
        <f t="shared" si="9"/>
        <v>0</v>
      </c>
      <c r="J150" s="14">
        <f t="shared" si="10"/>
        <v>742.86266444567445</v>
      </c>
      <c r="K150" s="26">
        <f t="shared" si="12"/>
        <v>222.85879933370234</v>
      </c>
      <c r="L150" s="21"/>
      <c r="M150" s="19"/>
      <c r="R150" s="20"/>
    </row>
    <row r="151" spans="1:18" hidden="1" x14ac:dyDescent="0.2">
      <c r="A151" s="7"/>
      <c r="B151" s="42">
        <v>118</v>
      </c>
      <c r="C151" s="14">
        <f t="shared" si="8"/>
        <v>96599.789757367369</v>
      </c>
      <c r="D151" s="14">
        <f>IF(B151&gt;$K$9,"",IF($D$8=Variables!$B$3,PPMT($D$18,B151,$K$9,-$J$10),IF($D$8=Variables!$B$6,PPMT($D$18,B151,$K$9,-$J$10),IF($D$8=Variables!$B$5,PPMT($D$18,B151-12,$K$9-12,-$C$45),IF(AND($D$8=Variables!$B$4,$D$15="si"),0,PPMT($D$18,B151-18,$K$9-18,-$J$10-SUM($L$34:$L$51))))))+IF(AND($D$8=Variables!$B$4,'Sim Reg N° 800'!$D$15="SI"),PPMT($D$18,B151-24,$K$9-24,-$J$10-SUM($M$34:$M$57))))</f>
        <v>244.85495412296808</v>
      </c>
      <c r="E151" s="14">
        <f>IF(B151&gt;$K$9,"",IF($D$8=Variables!$B$3,IPMT($D$18,B151,$K$9,-$J$10),IF($D$8=Variables!$B$6,IPMT($D$18,B151,$K$9,-$J$10),IF($D$8=Variables!$B$5,IPMT($D$18,B151-12,$K$9-12,-$C$45),IF(AND($D$8=Variables!$B$4,$D$15="si"),0,IPMT($D$18,B151-18,$K$9-18,-$J$10-SUM($L$34:$L$51))))))+IF(AND($D$8=Variables!$B$4,'Sim Reg N° 800'!$D$15="SI"),IPMT($D$18,B151-24,$K$9-24,-$J$10-SUM($M$34:$M$57))))</f>
        <v>363.16741766808877</v>
      </c>
      <c r="F151" s="14">
        <f>IF(B151&gt;$K$9,"",IF(AND($D$8=Variables!$B$3,$D$12="SI",$D$19="NO",$D$13="SI",B151&gt;=7),(PMT(0.06/12,$K$9,-$C$33)-PMT(0.045/12,$K$9,-$C$33)),IF(AND($D$8=Variables!$B$5,$D$19="NO",$D$12="SI",$D$13="SI",B151&gt;12),(PMT(0.06/12,$K$9,-$C$45)-PMT(0.045/12,$K$9,-$C$45)),IF(AND($D$8=Variables!$B$4,$D$12="SI",$D$19="NO",$D$13="SI",$D$15="NO",B151&gt;18),(PMT(0.06/12,$K$9,-$C$51)-PMT(0.045/12,$K$9,-$C$51)),IF(AND($D$8=Variables!$B$4,$D$12="SI",$D$19="NO",$D$13="SI",$D$15="SI",B151&gt;24),(PMT(0.06/12,$K$9,-$C$57)-PMT(0.045/12,$K$9,-$C$57)),0)))))</f>
        <v>111.43825839224587</v>
      </c>
      <c r="G151" s="14">
        <f>+IF(B151&gt;$K$9,"",IF($D$8=Variables!$B$6,0.21*IPMT('Sim Reg N° 800'!$D$18,'Sim Reg N° 800'!B151,'Sim Reg N° 800'!$K$9,-'Sim Reg N° 800'!$J$10),0))+F151*0.21</f>
        <v>23.402034262371632</v>
      </c>
      <c r="H151" s="14">
        <f t="shared" si="11"/>
        <v>742.86266444567434</v>
      </c>
      <c r="I151" s="14">
        <f t="shared" si="9"/>
        <v>0</v>
      </c>
      <c r="J151" s="14">
        <f t="shared" si="10"/>
        <v>742.86266444567434</v>
      </c>
      <c r="K151" s="26">
        <f t="shared" si="12"/>
        <v>222.85879933370231</v>
      </c>
      <c r="L151" s="21"/>
      <c r="M151" s="19"/>
      <c r="R151" s="20"/>
    </row>
    <row r="152" spans="1:18" hidden="1" x14ac:dyDescent="0.2">
      <c r="A152" s="7"/>
      <c r="B152" s="42">
        <v>119</v>
      </c>
      <c r="C152" s="14">
        <f t="shared" si="8"/>
        <v>96354.016597166439</v>
      </c>
      <c r="D152" s="14">
        <f>IF(B152&gt;$K$9,"",IF($D$8=Variables!$B$3,PPMT($D$18,B152,$K$9,-$J$10),IF($D$8=Variables!$B$6,PPMT($D$18,B152,$K$9,-$J$10),IF($D$8=Variables!$B$5,PPMT($D$18,B152-12,$K$9-12,-$C$45),IF(AND($D$8=Variables!$B$4,$D$15="si"),0,PPMT($D$18,B152-18,$K$9-18,-$J$10-SUM($L$34:$L$51))))))+IF(AND($D$8=Variables!$B$4,'Sim Reg N° 800'!$D$15="SI"),PPMT($D$18,B152-24,$K$9-24,-$J$10-SUM($M$34:$M$57))))</f>
        <v>245.77316020092923</v>
      </c>
      <c r="E152" s="14">
        <f>IF(B152&gt;$K$9,"",IF($D$8=Variables!$B$3,IPMT($D$18,B152,$K$9,-$J$10),IF($D$8=Variables!$B$6,IPMT($D$18,B152,$K$9,-$J$10),IF($D$8=Variables!$B$5,IPMT($D$18,B152-12,$K$9-12,-$C$45),IF(AND($D$8=Variables!$B$4,$D$15="si"),0,IPMT($D$18,B152-18,$K$9-18,-$J$10-SUM($L$34:$L$51))))))+IF(AND($D$8=Variables!$B$4,'Sim Reg N° 800'!$D$15="SI"),IPMT($D$18,B152-24,$K$9-24,-$J$10-SUM($M$34:$M$57))))</f>
        <v>362.24921159012763</v>
      </c>
      <c r="F152" s="14">
        <f>IF(B152&gt;$K$9,"",IF(AND($D$8=Variables!$B$3,$D$12="SI",$D$19="NO",$D$13="SI",B152&gt;=7),(PMT(0.06/12,$K$9,-$C$33)-PMT(0.045/12,$K$9,-$C$33)),IF(AND($D$8=Variables!$B$5,$D$19="NO",$D$12="SI",$D$13="SI",B152&gt;12),(PMT(0.06/12,$K$9,-$C$45)-PMT(0.045/12,$K$9,-$C$45)),IF(AND($D$8=Variables!$B$4,$D$12="SI",$D$19="NO",$D$13="SI",$D$15="NO",B152&gt;18),(PMT(0.06/12,$K$9,-$C$51)-PMT(0.045/12,$K$9,-$C$51)),IF(AND($D$8=Variables!$B$4,$D$12="SI",$D$19="NO",$D$13="SI",$D$15="SI",B152&gt;24),(PMT(0.06/12,$K$9,-$C$57)-PMT(0.045/12,$K$9,-$C$57)),0)))))</f>
        <v>111.43825839224587</v>
      </c>
      <c r="G152" s="14">
        <f>+IF(B152&gt;$K$9,"",IF($D$8=Variables!$B$6,0.21*IPMT('Sim Reg N° 800'!$D$18,'Sim Reg N° 800'!B152,'Sim Reg N° 800'!$K$9,-'Sim Reg N° 800'!$J$10),0))+F152*0.21</f>
        <v>23.402034262371632</v>
      </c>
      <c r="H152" s="14">
        <f t="shared" si="11"/>
        <v>742.86266444567434</v>
      </c>
      <c r="I152" s="14">
        <f t="shared" si="9"/>
        <v>0</v>
      </c>
      <c r="J152" s="14">
        <f t="shared" si="10"/>
        <v>742.86266444567434</v>
      </c>
      <c r="K152" s="26">
        <f t="shared" si="12"/>
        <v>222.85879933370231</v>
      </c>
      <c r="L152" s="21"/>
      <c r="M152" s="19"/>
      <c r="R152" s="20"/>
    </row>
    <row r="153" spans="1:18" hidden="1" x14ac:dyDescent="0.2">
      <c r="A153" s="7"/>
      <c r="B153" s="42">
        <v>120</v>
      </c>
      <c r="C153" s="14">
        <f t="shared" si="8"/>
        <v>96107.321787614754</v>
      </c>
      <c r="D153" s="14">
        <f>IF(B153&gt;$K$9,"",IF($D$8=Variables!$B$3,PPMT($D$18,B153,$K$9,-$J$10),IF($D$8=Variables!$B$6,PPMT($D$18,B153,$K$9,-$J$10),IF($D$8=Variables!$B$5,PPMT($D$18,B153-12,$K$9-12,-$C$45),IF(AND($D$8=Variables!$B$4,$D$15="si"),0,PPMT($D$18,B153-18,$K$9-18,-$J$10-SUM($L$34:$L$51))))))+IF(AND($D$8=Variables!$B$4,'Sim Reg N° 800'!$D$15="SI"),PPMT($D$18,B153-24,$K$9-24,-$J$10-SUM($M$34:$M$57))))</f>
        <v>246.69480955168271</v>
      </c>
      <c r="E153" s="14">
        <f>IF(B153&gt;$K$9,"",IF($D$8=Variables!$B$3,IPMT($D$18,B153,$K$9,-$J$10),IF($D$8=Variables!$B$6,IPMT($D$18,B153,$K$9,-$J$10),IF($D$8=Variables!$B$5,IPMT($D$18,B153-12,$K$9-12,-$C$45),IF(AND($D$8=Variables!$B$4,$D$15="si"),0,IPMT($D$18,B153-18,$K$9-18,-$J$10-SUM($L$34:$L$51))))))+IF(AND($D$8=Variables!$B$4,'Sim Reg N° 800'!$D$15="SI"),IPMT($D$18,B153-24,$K$9-24,-$J$10-SUM($M$34:$M$57))))</f>
        <v>361.32756223937412</v>
      </c>
      <c r="F153" s="14">
        <f>IF(B153&gt;$K$9,"",IF(AND($D$8=Variables!$B$3,$D$12="SI",$D$19="NO",$D$13="SI",B153&gt;=7),(PMT(0.06/12,$K$9,-$C$33)-PMT(0.045/12,$K$9,-$C$33)),IF(AND($D$8=Variables!$B$5,$D$19="NO",$D$12="SI",$D$13="SI",B153&gt;12),(PMT(0.06/12,$K$9,-$C$45)-PMT(0.045/12,$K$9,-$C$45)),IF(AND($D$8=Variables!$B$4,$D$12="SI",$D$19="NO",$D$13="SI",$D$15="NO",B153&gt;18),(PMT(0.06/12,$K$9,-$C$51)-PMT(0.045/12,$K$9,-$C$51)),IF(AND($D$8=Variables!$B$4,$D$12="SI",$D$19="NO",$D$13="SI",$D$15="SI",B153&gt;24),(PMT(0.06/12,$K$9,-$C$57)-PMT(0.045/12,$K$9,-$C$57)),0)))))</f>
        <v>111.43825839224587</v>
      </c>
      <c r="G153" s="14">
        <f>+IF(B153&gt;$K$9,"",IF($D$8=Variables!$B$6,0.21*IPMT('Sim Reg N° 800'!$D$18,'Sim Reg N° 800'!B153,'Sim Reg N° 800'!$K$9,-'Sim Reg N° 800'!$J$10),0))+F153*0.21</f>
        <v>23.402034262371632</v>
      </c>
      <c r="H153" s="14">
        <f t="shared" si="11"/>
        <v>742.86266444567434</v>
      </c>
      <c r="I153" s="14">
        <f t="shared" si="9"/>
        <v>0</v>
      </c>
      <c r="J153" s="14">
        <f t="shared" si="10"/>
        <v>742.86266444567434</v>
      </c>
      <c r="K153" s="26">
        <f t="shared" si="12"/>
        <v>222.85879933370231</v>
      </c>
      <c r="L153" s="21"/>
      <c r="M153" s="19"/>
      <c r="R153" s="20"/>
    </row>
    <row r="154" spans="1:18" hidden="1" x14ac:dyDescent="0.2">
      <c r="A154" s="7"/>
      <c r="B154" s="42">
        <v>121</v>
      </c>
      <c r="C154" s="14">
        <f t="shared" si="8"/>
        <v>95859.70187252725</v>
      </c>
      <c r="D154" s="14">
        <f>IF(B154&gt;$K$9,"",IF($D$8=Variables!$B$3,PPMT($D$18,B154,$K$9,-$J$10),IF($D$8=Variables!$B$6,PPMT($D$18,B154,$K$9,-$J$10),IF($D$8=Variables!$B$5,PPMT($D$18,B154-12,$K$9-12,-$C$45),IF(AND($D$8=Variables!$B$4,$D$15="si"),0,PPMT($D$18,B154-18,$K$9-18,-$J$10-SUM($L$34:$L$51))))))+IF(AND($D$8=Variables!$B$4,'Sim Reg N° 800'!$D$15="SI"),PPMT($D$18,B154-24,$K$9-24,-$J$10-SUM($M$34:$M$57))))</f>
        <v>247.61991508750154</v>
      </c>
      <c r="E154" s="14">
        <f>IF(B154&gt;$K$9,"",IF($D$8=Variables!$B$3,IPMT($D$18,B154,$K$9,-$J$10),IF($D$8=Variables!$B$6,IPMT($D$18,B154,$K$9,-$J$10),IF($D$8=Variables!$B$5,IPMT($D$18,B154-12,$K$9-12,-$C$45),IF(AND($D$8=Variables!$B$4,$D$15="si"),0,IPMT($D$18,B154-18,$K$9-18,-$J$10-SUM($L$34:$L$51))))))+IF(AND($D$8=Variables!$B$4,'Sim Reg N° 800'!$D$15="SI"),IPMT($D$18,B154-24,$K$9-24,-$J$10-SUM($M$34:$M$57))))</f>
        <v>360.40245670355529</v>
      </c>
      <c r="F154" s="14">
        <f>IF(B154&gt;$K$9,"",IF(AND($D$8=Variables!$B$3,$D$12="SI",$D$19="NO",$D$13="SI",B154&gt;=7),(PMT(0.06/12,$K$9,-$C$33)-PMT(0.045/12,$K$9,-$C$33)),IF(AND($D$8=Variables!$B$5,$D$19="NO",$D$12="SI",$D$13="SI",B154&gt;12),(PMT(0.06/12,$K$9,-$C$45)-PMT(0.045/12,$K$9,-$C$45)),IF(AND($D$8=Variables!$B$4,$D$12="SI",$D$19="NO",$D$13="SI",$D$15="NO",B154&gt;18),(PMT(0.06/12,$K$9,-$C$51)-PMT(0.045/12,$K$9,-$C$51)),IF(AND($D$8=Variables!$B$4,$D$12="SI",$D$19="NO",$D$13="SI",$D$15="SI",B154&gt;24),(PMT(0.06/12,$K$9,-$C$57)-PMT(0.045/12,$K$9,-$C$57)),0)))))</f>
        <v>111.43825839224587</v>
      </c>
      <c r="G154" s="14">
        <f>+IF(B154&gt;$K$9,"",IF($D$8=Variables!$B$6,0.21*IPMT('Sim Reg N° 800'!$D$18,'Sim Reg N° 800'!B154,'Sim Reg N° 800'!$K$9,-'Sim Reg N° 800'!$J$10),0))+F154*0.21</f>
        <v>23.402034262371632</v>
      </c>
      <c r="H154" s="14">
        <f t="shared" si="11"/>
        <v>742.86266444567434</v>
      </c>
      <c r="I154" s="14">
        <f t="shared" si="9"/>
        <v>95.999999999999986</v>
      </c>
      <c r="J154" s="14">
        <f t="shared" si="10"/>
        <v>838.86266444567434</v>
      </c>
      <c r="K154" s="26">
        <f t="shared" si="12"/>
        <v>251.65879933370229</v>
      </c>
      <c r="L154" s="21"/>
      <c r="M154" s="19"/>
      <c r="R154" s="20"/>
    </row>
    <row r="155" spans="1:18" hidden="1" x14ac:dyDescent="0.2">
      <c r="A155" s="7"/>
      <c r="B155" s="42">
        <v>122</v>
      </c>
      <c r="C155" s="14">
        <f t="shared" si="8"/>
        <v>95611.153382758173</v>
      </c>
      <c r="D155" s="14">
        <f>IF(B155&gt;$K$9,"",IF($D$8=Variables!$B$3,PPMT($D$18,B155,$K$9,-$J$10),IF($D$8=Variables!$B$6,PPMT($D$18,B155,$K$9,-$J$10),IF($D$8=Variables!$B$5,PPMT($D$18,B155-12,$K$9-12,-$C$45),IF(AND($D$8=Variables!$B$4,$D$15="si"),0,PPMT($D$18,B155-18,$K$9-18,-$J$10-SUM($L$34:$L$51))))))+IF(AND($D$8=Variables!$B$4,'Sim Reg N° 800'!$D$15="SI"),PPMT($D$18,B155-24,$K$9-24,-$J$10-SUM($M$34:$M$57))))</f>
        <v>248.54848976907962</v>
      </c>
      <c r="E155" s="14">
        <f>IF(B155&gt;$K$9,"",IF($D$8=Variables!$B$3,IPMT($D$18,B155,$K$9,-$J$10),IF($D$8=Variables!$B$6,IPMT($D$18,B155,$K$9,-$J$10),IF($D$8=Variables!$B$5,IPMT($D$18,B155-12,$K$9-12,-$C$45),IF(AND($D$8=Variables!$B$4,$D$15="si"),0,IPMT($D$18,B155-18,$K$9-18,-$J$10-SUM($L$34:$L$51))))))+IF(AND($D$8=Variables!$B$4,'Sim Reg N° 800'!$D$15="SI"),IPMT($D$18,B155-24,$K$9-24,-$J$10-SUM($M$34:$M$57))))</f>
        <v>359.4738820219772</v>
      </c>
      <c r="F155" s="14">
        <f>IF(B155&gt;$K$9,"",IF(AND($D$8=Variables!$B$3,$D$12="SI",$D$19="NO",$D$13="SI",B155&gt;=7),(PMT(0.06/12,$K$9,-$C$33)-PMT(0.045/12,$K$9,-$C$33)),IF(AND($D$8=Variables!$B$5,$D$19="NO",$D$12="SI",$D$13="SI",B155&gt;12),(PMT(0.06/12,$K$9,-$C$45)-PMT(0.045/12,$K$9,-$C$45)),IF(AND($D$8=Variables!$B$4,$D$12="SI",$D$19="NO",$D$13="SI",$D$15="NO",B155&gt;18),(PMT(0.06/12,$K$9,-$C$51)-PMT(0.045/12,$K$9,-$C$51)),IF(AND($D$8=Variables!$B$4,$D$12="SI",$D$19="NO",$D$13="SI",$D$15="SI",B155&gt;24),(PMT(0.06/12,$K$9,-$C$57)-PMT(0.045/12,$K$9,-$C$57)),0)))))</f>
        <v>111.43825839224587</v>
      </c>
      <c r="G155" s="14">
        <f>+IF(B155&gt;$K$9,"",IF($D$8=Variables!$B$6,0.21*IPMT('Sim Reg N° 800'!$D$18,'Sim Reg N° 800'!B155,'Sim Reg N° 800'!$K$9,-'Sim Reg N° 800'!$J$10),0))+F155*0.21</f>
        <v>23.402034262371632</v>
      </c>
      <c r="H155" s="14">
        <f t="shared" si="11"/>
        <v>742.86266444567434</v>
      </c>
      <c r="I155" s="14">
        <f t="shared" si="9"/>
        <v>0</v>
      </c>
      <c r="J155" s="14">
        <f t="shared" si="10"/>
        <v>742.86266444567434</v>
      </c>
      <c r="K155" s="26">
        <f t="shared" si="12"/>
        <v>222.85879933370231</v>
      </c>
      <c r="L155" s="21"/>
      <c r="M155" s="19"/>
      <c r="R155" s="20"/>
    </row>
    <row r="156" spans="1:18" hidden="1" x14ac:dyDescent="0.2">
      <c r="A156" s="7"/>
      <c r="B156" s="42">
        <v>123</v>
      </c>
      <c r="C156" s="14">
        <f t="shared" si="8"/>
        <v>95361.672836152458</v>
      </c>
      <c r="D156" s="14">
        <f>IF(B156&gt;$K$9,"",IF($D$8=Variables!$B$3,PPMT($D$18,B156,$K$9,-$J$10),IF($D$8=Variables!$B$6,PPMT($D$18,B156,$K$9,-$J$10),IF($D$8=Variables!$B$5,PPMT($D$18,B156-12,$K$9-12,-$C$45),IF(AND($D$8=Variables!$B$4,$D$15="si"),0,PPMT($D$18,B156-18,$K$9-18,-$J$10-SUM($L$34:$L$51))))))+IF(AND($D$8=Variables!$B$4,'Sim Reg N° 800'!$D$15="SI"),PPMT($D$18,B156-24,$K$9-24,-$J$10-SUM($M$34:$M$57))))</f>
        <v>249.4805466057137</v>
      </c>
      <c r="E156" s="14">
        <f>IF(B156&gt;$K$9,"",IF($D$8=Variables!$B$3,IPMT($D$18,B156,$K$9,-$J$10),IF($D$8=Variables!$B$6,IPMT($D$18,B156,$K$9,-$J$10),IF($D$8=Variables!$B$5,IPMT($D$18,B156-12,$K$9-12,-$C$45),IF(AND($D$8=Variables!$B$4,$D$15="si"),0,IPMT($D$18,B156-18,$K$9-18,-$J$10-SUM($L$34:$L$51))))))+IF(AND($D$8=Variables!$B$4,'Sim Reg N° 800'!$D$15="SI"),IPMT($D$18,B156-24,$K$9-24,-$J$10-SUM($M$34:$M$57))))</f>
        <v>358.54182518534316</v>
      </c>
      <c r="F156" s="14">
        <f>IF(B156&gt;$K$9,"",IF(AND($D$8=Variables!$B$3,$D$12="SI",$D$19="NO",$D$13="SI",B156&gt;=7),(PMT(0.06/12,$K$9,-$C$33)-PMT(0.045/12,$K$9,-$C$33)),IF(AND($D$8=Variables!$B$5,$D$19="NO",$D$12="SI",$D$13="SI",B156&gt;12),(PMT(0.06/12,$K$9,-$C$45)-PMT(0.045/12,$K$9,-$C$45)),IF(AND($D$8=Variables!$B$4,$D$12="SI",$D$19="NO",$D$13="SI",$D$15="NO",B156&gt;18),(PMT(0.06/12,$K$9,-$C$51)-PMT(0.045/12,$K$9,-$C$51)),IF(AND($D$8=Variables!$B$4,$D$12="SI",$D$19="NO",$D$13="SI",$D$15="SI",B156&gt;24),(PMT(0.06/12,$K$9,-$C$57)-PMT(0.045/12,$K$9,-$C$57)),0)))))</f>
        <v>111.43825839224587</v>
      </c>
      <c r="G156" s="14">
        <f>+IF(B156&gt;$K$9,"",IF($D$8=Variables!$B$6,0.21*IPMT('Sim Reg N° 800'!$D$18,'Sim Reg N° 800'!B156,'Sim Reg N° 800'!$K$9,-'Sim Reg N° 800'!$J$10),0))+F156*0.21</f>
        <v>23.402034262371632</v>
      </c>
      <c r="H156" s="14">
        <f t="shared" si="11"/>
        <v>742.86266444567434</v>
      </c>
      <c r="I156" s="14">
        <f t="shared" si="9"/>
        <v>0</v>
      </c>
      <c r="J156" s="14">
        <f t="shared" si="10"/>
        <v>742.86266444567434</v>
      </c>
      <c r="K156" s="26">
        <f t="shared" si="12"/>
        <v>222.85879933370231</v>
      </c>
      <c r="L156" s="21"/>
      <c r="M156" s="19"/>
      <c r="R156" s="20"/>
    </row>
    <row r="157" spans="1:18" hidden="1" x14ac:dyDescent="0.2">
      <c r="A157" s="7"/>
      <c r="B157" s="42">
        <v>124</v>
      </c>
      <c r="C157" s="14">
        <f t="shared" si="8"/>
        <v>95111.25673749698</v>
      </c>
      <c r="D157" s="14">
        <f>IF(B157&gt;$K$9,"",IF($D$8=Variables!$B$3,PPMT($D$18,B157,$K$9,-$J$10),IF($D$8=Variables!$B$6,PPMT($D$18,B157,$K$9,-$J$10),IF($D$8=Variables!$B$5,PPMT($D$18,B157-12,$K$9-12,-$C$45),IF(AND($D$8=Variables!$B$4,$D$15="si"),0,PPMT($D$18,B157-18,$K$9-18,-$J$10-SUM($L$34:$L$51))))))+IF(AND($D$8=Variables!$B$4,'Sim Reg N° 800'!$D$15="SI"),PPMT($D$18,B157-24,$K$9-24,-$J$10-SUM($M$34:$M$57))))</f>
        <v>250.41609865548509</v>
      </c>
      <c r="E157" s="14">
        <f>IF(B157&gt;$K$9,"",IF($D$8=Variables!$B$3,IPMT($D$18,B157,$K$9,-$J$10),IF($D$8=Variables!$B$6,IPMT($D$18,B157,$K$9,-$J$10),IF($D$8=Variables!$B$5,IPMT($D$18,B157-12,$K$9-12,-$C$45),IF(AND($D$8=Variables!$B$4,$D$15="si"),0,IPMT($D$18,B157-18,$K$9-18,-$J$10-SUM($L$34:$L$51))))))+IF(AND($D$8=Variables!$B$4,'Sim Reg N° 800'!$D$15="SI"),IPMT($D$18,B157-24,$K$9-24,-$J$10-SUM($M$34:$M$57))))</f>
        <v>357.60627313557171</v>
      </c>
      <c r="F157" s="14">
        <f>IF(B157&gt;$K$9,"",IF(AND($D$8=Variables!$B$3,$D$12="SI",$D$19="NO",$D$13="SI",B157&gt;=7),(PMT(0.06/12,$K$9,-$C$33)-PMT(0.045/12,$K$9,-$C$33)),IF(AND($D$8=Variables!$B$5,$D$19="NO",$D$12="SI",$D$13="SI",B157&gt;12),(PMT(0.06/12,$K$9,-$C$45)-PMT(0.045/12,$K$9,-$C$45)),IF(AND($D$8=Variables!$B$4,$D$12="SI",$D$19="NO",$D$13="SI",$D$15="NO",B157&gt;18),(PMT(0.06/12,$K$9,-$C$51)-PMT(0.045/12,$K$9,-$C$51)),IF(AND($D$8=Variables!$B$4,$D$12="SI",$D$19="NO",$D$13="SI",$D$15="SI",B157&gt;24),(PMT(0.06/12,$K$9,-$C$57)-PMT(0.045/12,$K$9,-$C$57)),0)))))</f>
        <v>111.43825839224587</v>
      </c>
      <c r="G157" s="14">
        <f>+IF(B157&gt;$K$9,"",IF($D$8=Variables!$B$6,0.21*IPMT('Sim Reg N° 800'!$D$18,'Sim Reg N° 800'!B157,'Sim Reg N° 800'!$K$9,-'Sim Reg N° 800'!$J$10),0))+F157*0.21</f>
        <v>23.402034262371632</v>
      </c>
      <c r="H157" s="14">
        <f t="shared" si="11"/>
        <v>742.86266444567423</v>
      </c>
      <c r="I157" s="14">
        <f t="shared" si="9"/>
        <v>0</v>
      </c>
      <c r="J157" s="14">
        <f t="shared" si="10"/>
        <v>742.86266444567423</v>
      </c>
      <c r="K157" s="26">
        <f t="shared" si="12"/>
        <v>222.85879933370225</v>
      </c>
      <c r="L157" s="21"/>
      <c r="M157" s="19"/>
      <c r="R157" s="20"/>
    </row>
    <row r="158" spans="1:18" hidden="1" x14ac:dyDescent="0.2">
      <c r="A158" s="7"/>
      <c r="B158" s="42">
        <v>125</v>
      </c>
      <c r="C158" s="14">
        <f t="shared" ref="C158:C221" si="13">+IF(B158&gt;$K$9,"",(C157-D158))</f>
        <v>94859.90157847153</v>
      </c>
      <c r="D158" s="14">
        <f>IF(B158&gt;$K$9,"",IF($D$8=Variables!$B$3,PPMT($D$18,B158,$K$9,-$J$10),IF($D$8=Variables!$B$6,PPMT($D$18,B158,$K$9,-$J$10),IF($D$8=Variables!$B$5,PPMT($D$18,B158-12,$K$9-12,-$C$45),IF(AND($D$8=Variables!$B$4,$D$15="si"),0,PPMT($D$18,B158-18,$K$9-18,-$J$10-SUM($L$34:$L$51))))))+IF(AND($D$8=Variables!$B$4,'Sim Reg N° 800'!$D$15="SI"),PPMT($D$18,B158-24,$K$9-24,-$J$10-SUM($M$34:$M$57))))</f>
        <v>251.35515902544319</v>
      </c>
      <c r="E158" s="14">
        <f>IF(B158&gt;$K$9,"",IF($D$8=Variables!$B$3,IPMT($D$18,B158,$K$9,-$J$10),IF($D$8=Variables!$B$6,IPMT($D$18,B158,$K$9,-$J$10),IF($D$8=Variables!$B$5,IPMT($D$18,B158-12,$K$9-12,-$C$45),IF(AND($D$8=Variables!$B$4,$D$15="si"),0,IPMT($D$18,B158-18,$K$9-18,-$J$10-SUM($L$34:$L$51))))))+IF(AND($D$8=Variables!$B$4,'Sim Reg N° 800'!$D$15="SI"),IPMT($D$18,B158-24,$K$9-24,-$J$10-SUM($M$34:$M$57))))</f>
        <v>356.66721276561367</v>
      </c>
      <c r="F158" s="14">
        <f>IF(B158&gt;$K$9,"",IF(AND($D$8=Variables!$B$3,$D$12="SI",$D$19="NO",$D$13="SI",B158&gt;=7),(PMT(0.06/12,$K$9,-$C$33)-PMT(0.045/12,$K$9,-$C$33)),IF(AND($D$8=Variables!$B$5,$D$19="NO",$D$12="SI",$D$13="SI",B158&gt;12),(PMT(0.06/12,$K$9,-$C$45)-PMT(0.045/12,$K$9,-$C$45)),IF(AND($D$8=Variables!$B$4,$D$12="SI",$D$19="NO",$D$13="SI",$D$15="NO",B158&gt;18),(PMT(0.06/12,$K$9,-$C$51)-PMT(0.045/12,$K$9,-$C$51)),IF(AND($D$8=Variables!$B$4,$D$12="SI",$D$19="NO",$D$13="SI",$D$15="SI",B158&gt;24),(PMT(0.06/12,$K$9,-$C$57)-PMT(0.045/12,$K$9,-$C$57)),0)))))</f>
        <v>111.43825839224587</v>
      </c>
      <c r="G158" s="14">
        <f>+IF(B158&gt;$K$9,"",IF($D$8=Variables!$B$6,0.21*IPMT('Sim Reg N° 800'!$D$18,'Sim Reg N° 800'!B158,'Sim Reg N° 800'!$K$9,-'Sim Reg N° 800'!$J$10),0))+F158*0.21</f>
        <v>23.402034262371632</v>
      </c>
      <c r="H158" s="14">
        <f t="shared" si="11"/>
        <v>742.86266444567434</v>
      </c>
      <c r="I158" s="14">
        <f t="shared" ref="I158:I221" si="14">+IF(B158&gt;$K$9,"",I146)</f>
        <v>0</v>
      </c>
      <c r="J158" s="14">
        <f t="shared" ref="J158:J221" si="15">+IF(B158&gt;$K$9,"",I158+H158)</f>
        <v>742.86266444567434</v>
      </c>
      <c r="K158" s="26">
        <f t="shared" si="12"/>
        <v>222.85879933370231</v>
      </c>
      <c r="L158" s="21"/>
      <c r="M158" s="19"/>
      <c r="R158" s="20"/>
    </row>
    <row r="159" spans="1:18" hidden="1" x14ac:dyDescent="0.2">
      <c r="A159" s="7"/>
      <c r="B159" s="42">
        <v>126</v>
      </c>
      <c r="C159" s="14">
        <f t="shared" si="13"/>
        <v>94607.603837599745</v>
      </c>
      <c r="D159" s="14">
        <f>IF(B159&gt;$K$9,"",IF($D$8=Variables!$B$3,PPMT($D$18,B159,$K$9,-$J$10),IF($D$8=Variables!$B$6,PPMT($D$18,B159,$K$9,-$J$10),IF($D$8=Variables!$B$5,PPMT($D$18,B159-12,$K$9-12,-$C$45),IF(AND($D$8=Variables!$B$4,$D$15="si"),0,PPMT($D$18,B159-18,$K$9-18,-$J$10-SUM($L$34:$L$51))))))+IF(AND($D$8=Variables!$B$4,'Sim Reg N° 800'!$D$15="SI"),PPMT($D$18,B159-24,$K$9-24,-$J$10-SUM($M$34:$M$57))))</f>
        <v>252.29774087178862</v>
      </c>
      <c r="E159" s="14">
        <f>IF(B159&gt;$K$9,"",IF($D$8=Variables!$B$3,IPMT($D$18,B159,$K$9,-$J$10),IF($D$8=Variables!$B$6,IPMT($D$18,B159,$K$9,-$J$10),IF($D$8=Variables!$B$5,IPMT($D$18,B159-12,$K$9-12,-$C$45),IF(AND($D$8=Variables!$B$4,$D$15="si"),0,IPMT($D$18,B159-18,$K$9-18,-$J$10-SUM($L$34:$L$51))))))+IF(AND($D$8=Variables!$B$4,'Sim Reg N° 800'!$D$15="SI"),IPMT($D$18,B159-24,$K$9-24,-$J$10-SUM($M$34:$M$57))))</f>
        <v>355.72463091926824</v>
      </c>
      <c r="F159" s="14">
        <f>IF(B159&gt;$K$9,"",IF(AND($D$8=Variables!$B$3,$D$12="SI",$D$19="NO",$D$13="SI",B159&gt;=7),(PMT(0.06/12,$K$9,-$C$33)-PMT(0.045/12,$K$9,-$C$33)),IF(AND($D$8=Variables!$B$5,$D$19="NO",$D$12="SI",$D$13="SI",B159&gt;12),(PMT(0.06/12,$K$9,-$C$45)-PMT(0.045/12,$K$9,-$C$45)),IF(AND($D$8=Variables!$B$4,$D$12="SI",$D$19="NO",$D$13="SI",$D$15="NO",B159&gt;18),(PMT(0.06/12,$K$9,-$C$51)-PMT(0.045/12,$K$9,-$C$51)),IF(AND($D$8=Variables!$B$4,$D$12="SI",$D$19="NO",$D$13="SI",$D$15="SI",B159&gt;24),(PMT(0.06/12,$K$9,-$C$57)-PMT(0.045/12,$K$9,-$C$57)),0)))))</f>
        <v>111.43825839224587</v>
      </c>
      <c r="G159" s="14">
        <f>+IF(B159&gt;$K$9,"",IF($D$8=Variables!$B$6,0.21*IPMT('Sim Reg N° 800'!$D$18,'Sim Reg N° 800'!B159,'Sim Reg N° 800'!$K$9,-'Sim Reg N° 800'!$J$10),0))+F159*0.21</f>
        <v>23.402034262371632</v>
      </c>
      <c r="H159" s="14">
        <f t="shared" ref="H159:H222" si="16">IF(B159&gt;$K$9,"",(G159+E159+D159+F159))</f>
        <v>742.86266444567434</v>
      </c>
      <c r="I159" s="14">
        <f t="shared" si="14"/>
        <v>0</v>
      </c>
      <c r="J159" s="14">
        <f t="shared" si="15"/>
        <v>742.86266444567434</v>
      </c>
      <c r="K159" s="26">
        <f t="shared" si="12"/>
        <v>222.85879933370231</v>
      </c>
      <c r="L159" s="21"/>
      <c r="M159" s="19"/>
      <c r="R159" s="20"/>
    </row>
    <row r="160" spans="1:18" hidden="1" x14ac:dyDescent="0.2">
      <c r="A160" s="7"/>
      <c r="B160" s="42">
        <v>127</v>
      </c>
      <c r="C160" s="14">
        <f t="shared" si="13"/>
        <v>94354.35998019969</v>
      </c>
      <c r="D160" s="14">
        <f>IF(B160&gt;$K$9,"",IF($D$8=Variables!$B$3,PPMT($D$18,B160,$K$9,-$J$10),IF($D$8=Variables!$B$6,PPMT($D$18,B160,$K$9,-$J$10),IF($D$8=Variables!$B$5,PPMT($D$18,B160-12,$K$9-12,-$C$45),IF(AND($D$8=Variables!$B$4,$D$15="si"),0,PPMT($D$18,B160-18,$K$9-18,-$J$10-SUM($L$34:$L$51))))))+IF(AND($D$8=Variables!$B$4,'Sim Reg N° 800'!$D$15="SI"),PPMT($D$18,B160-24,$K$9-24,-$J$10-SUM($M$34:$M$57))))</f>
        <v>253.24385740005781</v>
      </c>
      <c r="E160" s="14">
        <f>IF(B160&gt;$K$9,"",IF($D$8=Variables!$B$3,IPMT($D$18,B160,$K$9,-$J$10),IF($D$8=Variables!$B$6,IPMT($D$18,B160,$K$9,-$J$10),IF($D$8=Variables!$B$5,IPMT($D$18,B160-12,$K$9-12,-$C$45),IF(AND($D$8=Variables!$B$4,$D$15="si"),0,IPMT($D$18,B160-18,$K$9-18,-$J$10-SUM($L$34:$L$51))))))+IF(AND($D$8=Variables!$B$4,'Sim Reg N° 800'!$D$15="SI"),IPMT($D$18,B160-24,$K$9-24,-$J$10-SUM($M$34:$M$57))))</f>
        <v>354.77851439099908</v>
      </c>
      <c r="F160" s="14">
        <f>IF(B160&gt;$K$9,"",IF(AND($D$8=Variables!$B$3,$D$12="SI",$D$19="NO",$D$13="SI",B160&gt;=7),(PMT(0.06/12,$K$9,-$C$33)-PMT(0.045/12,$K$9,-$C$33)),IF(AND($D$8=Variables!$B$5,$D$19="NO",$D$12="SI",$D$13="SI",B160&gt;12),(PMT(0.06/12,$K$9,-$C$45)-PMT(0.045/12,$K$9,-$C$45)),IF(AND($D$8=Variables!$B$4,$D$12="SI",$D$19="NO",$D$13="SI",$D$15="NO",B160&gt;18),(PMT(0.06/12,$K$9,-$C$51)-PMT(0.045/12,$K$9,-$C$51)),IF(AND($D$8=Variables!$B$4,$D$12="SI",$D$19="NO",$D$13="SI",$D$15="SI",B160&gt;24),(PMT(0.06/12,$K$9,-$C$57)-PMT(0.045/12,$K$9,-$C$57)),0)))))</f>
        <v>111.43825839224587</v>
      </c>
      <c r="G160" s="14">
        <f>+IF(B160&gt;$K$9,"",IF($D$8=Variables!$B$6,0.21*IPMT('Sim Reg N° 800'!$D$18,'Sim Reg N° 800'!B160,'Sim Reg N° 800'!$K$9,-'Sim Reg N° 800'!$J$10),0))+F160*0.21</f>
        <v>23.402034262371632</v>
      </c>
      <c r="H160" s="14">
        <f t="shared" si="16"/>
        <v>742.86266444567434</v>
      </c>
      <c r="I160" s="14">
        <f t="shared" si="14"/>
        <v>0</v>
      </c>
      <c r="J160" s="14">
        <f t="shared" si="15"/>
        <v>742.86266444567434</v>
      </c>
      <c r="K160" s="26">
        <f t="shared" si="12"/>
        <v>222.85879933370231</v>
      </c>
      <c r="L160" s="21"/>
      <c r="M160" s="19"/>
      <c r="R160" s="20"/>
    </row>
    <row r="161" spans="1:18" hidden="1" x14ac:dyDescent="0.2">
      <c r="A161" s="7"/>
      <c r="B161" s="42">
        <v>128</v>
      </c>
      <c r="C161" s="14">
        <f t="shared" si="13"/>
        <v>94100.166458334381</v>
      </c>
      <c r="D161" s="14">
        <f>IF(B161&gt;$K$9,"",IF($D$8=Variables!$B$3,PPMT($D$18,B161,$K$9,-$J$10),IF($D$8=Variables!$B$6,PPMT($D$18,B161,$K$9,-$J$10),IF($D$8=Variables!$B$5,PPMT($D$18,B161-12,$K$9-12,-$C$45),IF(AND($D$8=Variables!$B$4,$D$15="si"),0,PPMT($D$18,B161-18,$K$9-18,-$J$10-SUM($L$34:$L$51))))))+IF(AND($D$8=Variables!$B$4,'Sim Reg N° 800'!$D$15="SI"),PPMT($D$18,B161-24,$K$9-24,-$J$10-SUM($M$34:$M$57))))</f>
        <v>254.19352186530801</v>
      </c>
      <c r="E161" s="14">
        <f>IF(B161&gt;$K$9,"",IF($D$8=Variables!$B$3,IPMT($D$18,B161,$K$9,-$J$10),IF($D$8=Variables!$B$6,IPMT($D$18,B161,$K$9,-$J$10),IF($D$8=Variables!$B$5,IPMT($D$18,B161-12,$K$9-12,-$C$45),IF(AND($D$8=Variables!$B$4,$D$15="si"),0,IPMT($D$18,B161-18,$K$9-18,-$J$10-SUM($L$34:$L$51))))))+IF(AND($D$8=Variables!$B$4,'Sim Reg N° 800'!$D$15="SI"),IPMT($D$18,B161-24,$K$9-24,-$J$10-SUM($M$34:$M$57))))</f>
        <v>353.82884992574884</v>
      </c>
      <c r="F161" s="14">
        <f>IF(B161&gt;$K$9,"",IF(AND($D$8=Variables!$B$3,$D$12="SI",$D$19="NO",$D$13="SI",B161&gt;=7),(PMT(0.06/12,$K$9,-$C$33)-PMT(0.045/12,$K$9,-$C$33)),IF(AND($D$8=Variables!$B$5,$D$19="NO",$D$12="SI",$D$13="SI",B161&gt;12),(PMT(0.06/12,$K$9,-$C$45)-PMT(0.045/12,$K$9,-$C$45)),IF(AND($D$8=Variables!$B$4,$D$12="SI",$D$19="NO",$D$13="SI",$D$15="NO",B161&gt;18),(PMT(0.06/12,$K$9,-$C$51)-PMT(0.045/12,$K$9,-$C$51)),IF(AND($D$8=Variables!$B$4,$D$12="SI",$D$19="NO",$D$13="SI",$D$15="SI",B161&gt;24),(PMT(0.06/12,$K$9,-$C$57)-PMT(0.045/12,$K$9,-$C$57)),0)))))</f>
        <v>111.43825839224587</v>
      </c>
      <c r="G161" s="14">
        <f>+IF(B161&gt;$K$9,"",IF($D$8=Variables!$B$6,0.21*IPMT('Sim Reg N° 800'!$D$18,'Sim Reg N° 800'!B161,'Sim Reg N° 800'!$K$9,-'Sim Reg N° 800'!$J$10),0))+F161*0.21</f>
        <v>23.402034262371632</v>
      </c>
      <c r="H161" s="14">
        <f t="shared" si="16"/>
        <v>742.86266444567434</v>
      </c>
      <c r="I161" s="14">
        <f t="shared" si="14"/>
        <v>0</v>
      </c>
      <c r="J161" s="14">
        <f t="shared" si="15"/>
        <v>742.86266444567434</v>
      </c>
      <c r="K161" s="26">
        <f t="shared" si="12"/>
        <v>222.85879933370231</v>
      </c>
      <c r="L161" s="21"/>
      <c r="M161" s="19"/>
      <c r="R161" s="20"/>
    </row>
    <row r="162" spans="1:18" hidden="1" x14ac:dyDescent="0.2">
      <c r="A162" s="7"/>
      <c r="B162" s="42">
        <v>129</v>
      </c>
      <c r="C162" s="14">
        <f t="shared" si="13"/>
        <v>93845.019710762077</v>
      </c>
      <c r="D162" s="14">
        <f>IF(B162&gt;$K$9,"",IF($D$8=Variables!$B$3,PPMT($D$18,B162,$K$9,-$J$10),IF($D$8=Variables!$B$6,PPMT($D$18,B162,$K$9,-$J$10),IF($D$8=Variables!$B$5,PPMT($D$18,B162-12,$K$9-12,-$C$45),IF(AND($D$8=Variables!$B$4,$D$15="si"),0,PPMT($D$18,B162-18,$K$9-18,-$J$10-SUM($L$34:$L$51))))))+IF(AND($D$8=Variables!$B$4,'Sim Reg N° 800'!$D$15="SI"),PPMT($D$18,B162-24,$K$9-24,-$J$10-SUM($M$34:$M$57))))</f>
        <v>255.14674757230293</v>
      </c>
      <c r="E162" s="14">
        <f>IF(B162&gt;$K$9,"",IF($D$8=Variables!$B$3,IPMT($D$18,B162,$K$9,-$J$10),IF($D$8=Variables!$B$6,IPMT($D$18,B162,$K$9,-$J$10),IF($D$8=Variables!$B$5,IPMT($D$18,B162-12,$K$9-12,-$C$45),IF(AND($D$8=Variables!$B$4,$D$15="si"),0,IPMT($D$18,B162-18,$K$9-18,-$J$10-SUM($L$34:$L$51))))))+IF(AND($D$8=Variables!$B$4,'Sim Reg N° 800'!$D$15="SI"),IPMT($D$18,B162-24,$K$9-24,-$J$10-SUM($M$34:$M$57))))</f>
        <v>352.87562421875384</v>
      </c>
      <c r="F162" s="14">
        <f>IF(B162&gt;$K$9,"",IF(AND($D$8=Variables!$B$3,$D$12="SI",$D$19="NO",$D$13="SI",B162&gt;=7),(PMT(0.06/12,$K$9,-$C$33)-PMT(0.045/12,$K$9,-$C$33)),IF(AND($D$8=Variables!$B$5,$D$19="NO",$D$12="SI",$D$13="SI",B162&gt;12),(PMT(0.06/12,$K$9,-$C$45)-PMT(0.045/12,$K$9,-$C$45)),IF(AND($D$8=Variables!$B$4,$D$12="SI",$D$19="NO",$D$13="SI",$D$15="NO",B162&gt;18),(PMT(0.06/12,$K$9,-$C$51)-PMT(0.045/12,$K$9,-$C$51)),IF(AND($D$8=Variables!$B$4,$D$12="SI",$D$19="NO",$D$13="SI",$D$15="SI",B162&gt;24),(PMT(0.06/12,$K$9,-$C$57)-PMT(0.045/12,$K$9,-$C$57)),0)))))</f>
        <v>111.43825839224587</v>
      </c>
      <c r="G162" s="14">
        <f>+IF(B162&gt;$K$9,"",IF($D$8=Variables!$B$6,0.21*IPMT('Sim Reg N° 800'!$D$18,'Sim Reg N° 800'!B162,'Sim Reg N° 800'!$K$9,-'Sim Reg N° 800'!$J$10),0))+F162*0.21</f>
        <v>23.402034262371632</v>
      </c>
      <c r="H162" s="14">
        <f t="shared" si="16"/>
        <v>742.86266444567423</v>
      </c>
      <c r="I162" s="14">
        <f t="shared" si="14"/>
        <v>0</v>
      </c>
      <c r="J162" s="14">
        <f t="shared" si="15"/>
        <v>742.86266444567423</v>
      </c>
      <c r="K162" s="26">
        <f t="shared" si="12"/>
        <v>222.85879933370225</v>
      </c>
      <c r="L162" s="21"/>
      <c r="M162" s="19"/>
      <c r="R162" s="20"/>
    </row>
    <row r="163" spans="1:18" hidden="1" x14ac:dyDescent="0.2">
      <c r="A163" s="7"/>
      <c r="B163" s="42">
        <v>130</v>
      </c>
      <c r="C163" s="14">
        <f t="shared" si="13"/>
        <v>93588.91616288638</v>
      </c>
      <c r="D163" s="14">
        <f>IF(B163&gt;$K$9,"",IF($D$8=Variables!$B$3,PPMT($D$18,B163,$K$9,-$J$10),IF($D$8=Variables!$B$6,PPMT($D$18,B163,$K$9,-$J$10),IF($D$8=Variables!$B$5,PPMT($D$18,B163-12,$K$9-12,-$C$45),IF(AND($D$8=Variables!$B$4,$D$15="si"),0,PPMT($D$18,B163-18,$K$9-18,-$J$10-SUM($L$34:$L$51))))))+IF(AND($D$8=Variables!$B$4,'Sim Reg N° 800'!$D$15="SI"),PPMT($D$18,B163-24,$K$9-24,-$J$10-SUM($M$34:$M$57))))</f>
        <v>256.10354787569906</v>
      </c>
      <c r="E163" s="14">
        <f>IF(B163&gt;$K$9,"",IF($D$8=Variables!$B$3,IPMT($D$18,B163,$K$9,-$J$10),IF($D$8=Variables!$B$6,IPMT($D$18,B163,$K$9,-$J$10),IF($D$8=Variables!$B$5,IPMT($D$18,B163-12,$K$9-12,-$C$45),IF(AND($D$8=Variables!$B$4,$D$15="si"),0,IPMT($D$18,B163-18,$K$9-18,-$J$10-SUM($L$34:$L$51))))))+IF(AND($D$8=Variables!$B$4,'Sim Reg N° 800'!$D$15="SI"),IPMT($D$18,B163-24,$K$9-24,-$J$10-SUM($M$34:$M$57))))</f>
        <v>351.91882391535779</v>
      </c>
      <c r="F163" s="14">
        <f>IF(B163&gt;$K$9,"",IF(AND($D$8=Variables!$B$3,$D$12="SI",$D$19="NO",$D$13="SI",B163&gt;=7),(PMT(0.06/12,$K$9,-$C$33)-PMT(0.045/12,$K$9,-$C$33)),IF(AND($D$8=Variables!$B$5,$D$19="NO",$D$12="SI",$D$13="SI",B163&gt;12),(PMT(0.06/12,$K$9,-$C$45)-PMT(0.045/12,$K$9,-$C$45)),IF(AND($D$8=Variables!$B$4,$D$12="SI",$D$19="NO",$D$13="SI",$D$15="NO",B163&gt;18),(PMT(0.06/12,$K$9,-$C$51)-PMT(0.045/12,$K$9,-$C$51)),IF(AND($D$8=Variables!$B$4,$D$12="SI",$D$19="NO",$D$13="SI",$D$15="SI",B163&gt;24),(PMT(0.06/12,$K$9,-$C$57)-PMT(0.045/12,$K$9,-$C$57)),0)))))</f>
        <v>111.43825839224587</v>
      </c>
      <c r="G163" s="14">
        <f>+IF(B163&gt;$K$9,"",IF($D$8=Variables!$B$6,0.21*IPMT('Sim Reg N° 800'!$D$18,'Sim Reg N° 800'!B163,'Sim Reg N° 800'!$K$9,-'Sim Reg N° 800'!$J$10),0))+F163*0.21</f>
        <v>23.402034262371632</v>
      </c>
      <c r="H163" s="14">
        <f t="shared" si="16"/>
        <v>742.86266444567434</v>
      </c>
      <c r="I163" s="14">
        <f t="shared" si="14"/>
        <v>0</v>
      </c>
      <c r="J163" s="14">
        <f t="shared" si="15"/>
        <v>742.86266444567434</v>
      </c>
      <c r="K163" s="26">
        <f t="shared" ref="K163:K226" si="17">+IF(J163="","",J163*0.3)</f>
        <v>222.85879933370231</v>
      </c>
      <c r="L163" s="21"/>
      <c r="M163" s="19"/>
      <c r="R163" s="20"/>
    </row>
    <row r="164" spans="1:18" hidden="1" x14ac:dyDescent="0.2">
      <c r="A164" s="7"/>
      <c r="B164" s="42">
        <v>131</v>
      </c>
      <c r="C164" s="14">
        <f t="shared" si="13"/>
        <v>93331.852226706149</v>
      </c>
      <c r="D164" s="14">
        <f>IF(B164&gt;$K$9,"",IF($D$8=Variables!$B$3,PPMT($D$18,B164,$K$9,-$J$10),IF($D$8=Variables!$B$6,PPMT($D$18,B164,$K$9,-$J$10),IF($D$8=Variables!$B$5,PPMT($D$18,B164-12,$K$9-12,-$C$45),IF(AND($D$8=Variables!$B$4,$D$15="si"),0,PPMT($D$18,B164-18,$K$9-18,-$J$10-SUM($L$34:$L$51))))))+IF(AND($D$8=Variables!$B$4,'Sim Reg N° 800'!$D$15="SI"),PPMT($D$18,B164-24,$K$9-24,-$J$10-SUM($M$34:$M$57))))</f>
        <v>257.06393618023293</v>
      </c>
      <c r="E164" s="14">
        <f>IF(B164&gt;$K$9,"",IF($D$8=Variables!$B$3,IPMT($D$18,B164,$K$9,-$J$10),IF($D$8=Variables!$B$6,IPMT($D$18,B164,$K$9,-$J$10),IF($D$8=Variables!$B$5,IPMT($D$18,B164-12,$K$9-12,-$C$45),IF(AND($D$8=Variables!$B$4,$D$15="si"),0,IPMT($D$18,B164-18,$K$9-18,-$J$10-SUM($L$34:$L$51))))))+IF(AND($D$8=Variables!$B$4,'Sim Reg N° 800'!$D$15="SI"),IPMT($D$18,B164-24,$K$9-24,-$J$10-SUM($M$34:$M$57))))</f>
        <v>350.95843561082393</v>
      </c>
      <c r="F164" s="14">
        <f>IF(B164&gt;$K$9,"",IF(AND($D$8=Variables!$B$3,$D$12="SI",$D$19="NO",$D$13="SI",B164&gt;=7),(PMT(0.06/12,$K$9,-$C$33)-PMT(0.045/12,$K$9,-$C$33)),IF(AND($D$8=Variables!$B$5,$D$19="NO",$D$12="SI",$D$13="SI",B164&gt;12),(PMT(0.06/12,$K$9,-$C$45)-PMT(0.045/12,$K$9,-$C$45)),IF(AND($D$8=Variables!$B$4,$D$12="SI",$D$19="NO",$D$13="SI",$D$15="NO",B164&gt;18),(PMT(0.06/12,$K$9,-$C$51)-PMT(0.045/12,$K$9,-$C$51)),IF(AND($D$8=Variables!$B$4,$D$12="SI",$D$19="NO",$D$13="SI",$D$15="SI",B164&gt;24),(PMT(0.06/12,$K$9,-$C$57)-PMT(0.045/12,$K$9,-$C$57)),0)))))</f>
        <v>111.43825839224587</v>
      </c>
      <c r="G164" s="14">
        <f>+IF(B164&gt;$K$9,"",IF($D$8=Variables!$B$6,0.21*IPMT('Sim Reg N° 800'!$D$18,'Sim Reg N° 800'!B164,'Sim Reg N° 800'!$K$9,-'Sim Reg N° 800'!$J$10),0))+F164*0.21</f>
        <v>23.402034262371632</v>
      </c>
      <c r="H164" s="14">
        <f t="shared" si="16"/>
        <v>742.86266444567434</v>
      </c>
      <c r="I164" s="14">
        <f t="shared" si="14"/>
        <v>0</v>
      </c>
      <c r="J164" s="14">
        <f t="shared" si="15"/>
        <v>742.86266444567434</v>
      </c>
      <c r="K164" s="26">
        <f t="shared" si="17"/>
        <v>222.85879933370231</v>
      </c>
      <c r="L164" s="21"/>
      <c r="M164" s="19"/>
      <c r="R164" s="20"/>
    </row>
    <row r="165" spans="1:18" hidden="1" x14ac:dyDescent="0.2">
      <c r="A165" s="7"/>
      <c r="B165" s="42">
        <v>132</v>
      </c>
      <c r="C165" s="14">
        <f t="shared" si="13"/>
        <v>93073.824300765235</v>
      </c>
      <c r="D165" s="14">
        <f>IF(B165&gt;$K$9,"",IF($D$8=Variables!$B$3,PPMT($D$18,B165,$K$9,-$J$10),IF($D$8=Variables!$B$6,PPMT($D$18,B165,$K$9,-$J$10),IF($D$8=Variables!$B$5,PPMT($D$18,B165-12,$K$9-12,-$C$45),IF(AND($D$8=Variables!$B$4,$D$15="si"),0,PPMT($D$18,B165-18,$K$9-18,-$J$10-SUM($L$34:$L$51))))))+IF(AND($D$8=Variables!$B$4,'Sim Reg N° 800'!$D$15="SI"),PPMT($D$18,B165-24,$K$9-24,-$J$10-SUM($M$34:$M$57))))</f>
        <v>258.0279259409088</v>
      </c>
      <c r="E165" s="14">
        <f>IF(B165&gt;$K$9,"",IF($D$8=Variables!$B$3,IPMT($D$18,B165,$K$9,-$J$10),IF($D$8=Variables!$B$6,IPMT($D$18,B165,$K$9,-$J$10),IF($D$8=Variables!$B$5,IPMT($D$18,B165-12,$K$9-12,-$C$45),IF(AND($D$8=Variables!$B$4,$D$15="si"),0,IPMT($D$18,B165-18,$K$9-18,-$J$10-SUM($L$34:$L$51))))))+IF(AND($D$8=Variables!$B$4,'Sim Reg N° 800'!$D$15="SI"),IPMT($D$18,B165-24,$K$9-24,-$J$10-SUM($M$34:$M$57))))</f>
        <v>349.99444585014811</v>
      </c>
      <c r="F165" s="14">
        <f>IF(B165&gt;$K$9,"",IF(AND($D$8=Variables!$B$3,$D$12="SI",$D$19="NO",$D$13="SI",B165&gt;=7),(PMT(0.06/12,$K$9,-$C$33)-PMT(0.045/12,$K$9,-$C$33)),IF(AND($D$8=Variables!$B$5,$D$19="NO",$D$12="SI",$D$13="SI",B165&gt;12),(PMT(0.06/12,$K$9,-$C$45)-PMT(0.045/12,$K$9,-$C$45)),IF(AND($D$8=Variables!$B$4,$D$12="SI",$D$19="NO",$D$13="SI",$D$15="NO",B165&gt;18),(PMT(0.06/12,$K$9,-$C$51)-PMT(0.045/12,$K$9,-$C$51)),IF(AND($D$8=Variables!$B$4,$D$12="SI",$D$19="NO",$D$13="SI",$D$15="SI",B165&gt;24),(PMT(0.06/12,$K$9,-$C$57)-PMT(0.045/12,$K$9,-$C$57)),0)))))</f>
        <v>111.43825839224587</v>
      </c>
      <c r="G165" s="14">
        <f>+IF(B165&gt;$K$9,"",IF($D$8=Variables!$B$6,0.21*IPMT('Sim Reg N° 800'!$D$18,'Sim Reg N° 800'!B165,'Sim Reg N° 800'!$K$9,-'Sim Reg N° 800'!$J$10),0))+F165*0.21</f>
        <v>23.402034262371632</v>
      </c>
      <c r="H165" s="14">
        <f t="shared" si="16"/>
        <v>742.86266444567445</v>
      </c>
      <c r="I165" s="14">
        <f t="shared" si="14"/>
        <v>0</v>
      </c>
      <c r="J165" s="14">
        <f t="shared" si="15"/>
        <v>742.86266444567445</v>
      </c>
      <c r="K165" s="26">
        <f t="shared" si="17"/>
        <v>222.85879933370234</v>
      </c>
      <c r="L165" s="21"/>
      <c r="M165" s="19"/>
      <c r="R165" s="20"/>
    </row>
    <row r="166" spans="1:18" hidden="1" x14ac:dyDescent="0.2">
      <c r="A166" s="7"/>
      <c r="B166" s="42">
        <v>133</v>
      </c>
      <c r="C166" s="14">
        <f t="shared" si="13"/>
        <v>92814.828770102045</v>
      </c>
      <c r="D166" s="14">
        <f>IF(B166&gt;$K$9,"",IF($D$8=Variables!$B$3,PPMT($D$18,B166,$K$9,-$J$10),IF($D$8=Variables!$B$6,PPMT($D$18,B166,$K$9,-$J$10),IF($D$8=Variables!$B$5,PPMT($D$18,B166-12,$K$9-12,-$C$45),IF(AND($D$8=Variables!$B$4,$D$15="si"),0,PPMT($D$18,B166-18,$K$9-18,-$J$10-SUM($L$34:$L$51))))))+IF(AND($D$8=Variables!$B$4,'Sim Reg N° 800'!$D$15="SI"),PPMT($D$18,B166-24,$K$9-24,-$J$10-SUM($M$34:$M$57))))</f>
        <v>258.99553066318725</v>
      </c>
      <c r="E166" s="14">
        <f>IF(B166&gt;$K$9,"",IF($D$8=Variables!$B$3,IPMT($D$18,B166,$K$9,-$J$10),IF($D$8=Variables!$B$6,IPMT($D$18,B166,$K$9,-$J$10),IF($D$8=Variables!$B$5,IPMT($D$18,B166-12,$K$9-12,-$C$45),IF(AND($D$8=Variables!$B$4,$D$15="si"),0,IPMT($D$18,B166-18,$K$9-18,-$J$10-SUM($L$34:$L$51))))))+IF(AND($D$8=Variables!$B$4,'Sim Reg N° 800'!$D$15="SI"),IPMT($D$18,B166-24,$K$9-24,-$J$10-SUM($M$34:$M$57))))</f>
        <v>349.0268411278696</v>
      </c>
      <c r="F166" s="14">
        <f>IF(B166&gt;$K$9,"",IF(AND($D$8=Variables!$B$3,$D$12="SI",$D$19="NO",$D$13="SI",B166&gt;=7),(PMT(0.06/12,$K$9,-$C$33)-PMT(0.045/12,$K$9,-$C$33)),IF(AND($D$8=Variables!$B$5,$D$19="NO",$D$12="SI",$D$13="SI",B166&gt;12),(PMT(0.06/12,$K$9,-$C$45)-PMT(0.045/12,$K$9,-$C$45)),IF(AND($D$8=Variables!$B$4,$D$12="SI",$D$19="NO",$D$13="SI",$D$15="NO",B166&gt;18),(PMT(0.06/12,$K$9,-$C$51)-PMT(0.045/12,$K$9,-$C$51)),IF(AND($D$8=Variables!$B$4,$D$12="SI",$D$19="NO",$D$13="SI",$D$15="SI",B166&gt;24),(PMT(0.06/12,$K$9,-$C$57)-PMT(0.045/12,$K$9,-$C$57)),0)))))</f>
        <v>111.43825839224587</v>
      </c>
      <c r="G166" s="14">
        <f>+IF(B166&gt;$K$9,"",IF($D$8=Variables!$B$6,0.21*IPMT('Sim Reg N° 800'!$D$18,'Sim Reg N° 800'!B166,'Sim Reg N° 800'!$K$9,-'Sim Reg N° 800'!$J$10),0))+F166*0.21</f>
        <v>23.402034262371632</v>
      </c>
      <c r="H166" s="14">
        <f t="shared" si="16"/>
        <v>742.86266444567434</v>
      </c>
      <c r="I166" s="14">
        <f t="shared" si="14"/>
        <v>95.999999999999986</v>
      </c>
      <c r="J166" s="14">
        <f t="shared" si="15"/>
        <v>838.86266444567434</v>
      </c>
      <c r="K166" s="26">
        <f t="shared" si="17"/>
        <v>251.65879933370229</v>
      </c>
      <c r="L166" s="21"/>
      <c r="M166" s="19"/>
      <c r="R166" s="20"/>
    </row>
    <row r="167" spans="1:18" hidden="1" x14ac:dyDescent="0.2">
      <c r="A167" s="7"/>
      <c r="B167" s="42">
        <v>134</v>
      </c>
      <c r="C167" s="14">
        <f t="shared" si="13"/>
        <v>92554.862006198877</v>
      </c>
      <c r="D167" s="14">
        <f>IF(B167&gt;$K$9,"",IF($D$8=Variables!$B$3,PPMT($D$18,B167,$K$9,-$J$10),IF($D$8=Variables!$B$6,PPMT($D$18,B167,$K$9,-$J$10),IF($D$8=Variables!$B$5,PPMT($D$18,B167-12,$K$9-12,-$C$45),IF(AND($D$8=Variables!$B$4,$D$15="si"),0,PPMT($D$18,B167-18,$K$9-18,-$J$10-SUM($L$34:$L$51))))))+IF(AND($D$8=Variables!$B$4,'Sim Reg N° 800'!$D$15="SI"),PPMT($D$18,B167-24,$K$9-24,-$J$10-SUM($M$34:$M$57))))</f>
        <v>259.96676390317418</v>
      </c>
      <c r="E167" s="14">
        <f>IF(B167&gt;$K$9,"",IF($D$8=Variables!$B$3,IPMT($D$18,B167,$K$9,-$J$10),IF($D$8=Variables!$B$6,IPMT($D$18,B167,$K$9,-$J$10),IF($D$8=Variables!$B$5,IPMT($D$18,B167-12,$K$9-12,-$C$45),IF(AND($D$8=Variables!$B$4,$D$15="si"),0,IPMT($D$18,B167-18,$K$9-18,-$J$10-SUM($L$34:$L$51))))))+IF(AND($D$8=Variables!$B$4,'Sim Reg N° 800'!$D$15="SI"),IPMT($D$18,B167-24,$K$9-24,-$J$10-SUM($M$34:$M$57))))</f>
        <v>348.05560788788267</v>
      </c>
      <c r="F167" s="14">
        <f>IF(B167&gt;$K$9,"",IF(AND($D$8=Variables!$B$3,$D$12="SI",$D$19="NO",$D$13="SI",B167&gt;=7),(PMT(0.06/12,$K$9,-$C$33)-PMT(0.045/12,$K$9,-$C$33)),IF(AND($D$8=Variables!$B$5,$D$19="NO",$D$12="SI",$D$13="SI",B167&gt;12),(PMT(0.06/12,$K$9,-$C$45)-PMT(0.045/12,$K$9,-$C$45)),IF(AND($D$8=Variables!$B$4,$D$12="SI",$D$19="NO",$D$13="SI",$D$15="NO",B167&gt;18),(PMT(0.06/12,$K$9,-$C$51)-PMT(0.045/12,$K$9,-$C$51)),IF(AND($D$8=Variables!$B$4,$D$12="SI",$D$19="NO",$D$13="SI",$D$15="SI",B167&gt;24),(PMT(0.06/12,$K$9,-$C$57)-PMT(0.045/12,$K$9,-$C$57)),0)))))</f>
        <v>111.43825839224587</v>
      </c>
      <c r="G167" s="14">
        <f>+IF(B167&gt;$K$9,"",IF($D$8=Variables!$B$6,0.21*IPMT('Sim Reg N° 800'!$D$18,'Sim Reg N° 800'!B167,'Sim Reg N° 800'!$K$9,-'Sim Reg N° 800'!$J$10),0))+F167*0.21</f>
        <v>23.402034262371632</v>
      </c>
      <c r="H167" s="14">
        <f t="shared" si="16"/>
        <v>742.86266444567434</v>
      </c>
      <c r="I167" s="14">
        <f t="shared" si="14"/>
        <v>0</v>
      </c>
      <c r="J167" s="14">
        <f t="shared" si="15"/>
        <v>742.86266444567434</v>
      </c>
      <c r="K167" s="26">
        <f t="shared" si="17"/>
        <v>222.85879933370231</v>
      </c>
      <c r="L167" s="21"/>
      <c r="M167" s="19"/>
      <c r="R167" s="20"/>
    </row>
    <row r="168" spans="1:18" hidden="1" x14ac:dyDescent="0.2">
      <c r="A168" s="7"/>
      <c r="B168" s="42">
        <v>135</v>
      </c>
      <c r="C168" s="14">
        <f t="shared" si="13"/>
        <v>92293.920366931066</v>
      </c>
      <c r="D168" s="14">
        <f>IF(B168&gt;$K$9,"",IF($D$8=Variables!$B$3,PPMT($D$18,B168,$K$9,-$J$10),IF($D$8=Variables!$B$6,PPMT($D$18,B168,$K$9,-$J$10),IF($D$8=Variables!$B$5,PPMT($D$18,B168-12,$K$9-12,-$C$45),IF(AND($D$8=Variables!$B$4,$D$15="si"),0,PPMT($D$18,B168-18,$K$9-18,-$J$10-SUM($L$34:$L$51))))))+IF(AND($D$8=Variables!$B$4,'Sim Reg N° 800'!$D$15="SI"),PPMT($D$18,B168-24,$K$9-24,-$J$10-SUM($M$34:$M$57))))</f>
        <v>260.94163926781107</v>
      </c>
      <c r="E168" s="14">
        <f>IF(B168&gt;$K$9,"",IF($D$8=Variables!$B$3,IPMT($D$18,B168,$K$9,-$J$10),IF($D$8=Variables!$B$6,IPMT($D$18,B168,$K$9,-$J$10),IF($D$8=Variables!$B$5,IPMT($D$18,B168-12,$K$9-12,-$C$45),IF(AND($D$8=Variables!$B$4,$D$15="si"),0,IPMT($D$18,B168-18,$K$9-18,-$J$10-SUM($L$34:$L$51))))))+IF(AND($D$8=Variables!$B$4,'Sim Reg N° 800'!$D$15="SI"),IPMT($D$18,B168-24,$K$9-24,-$J$10-SUM($M$34:$M$57))))</f>
        <v>347.08073252324573</v>
      </c>
      <c r="F168" s="14">
        <f>IF(B168&gt;$K$9,"",IF(AND($D$8=Variables!$B$3,$D$12="SI",$D$19="NO",$D$13="SI",B168&gt;=7),(PMT(0.06/12,$K$9,-$C$33)-PMT(0.045/12,$K$9,-$C$33)),IF(AND($D$8=Variables!$B$5,$D$19="NO",$D$12="SI",$D$13="SI",B168&gt;12),(PMT(0.06/12,$K$9,-$C$45)-PMT(0.045/12,$K$9,-$C$45)),IF(AND($D$8=Variables!$B$4,$D$12="SI",$D$19="NO",$D$13="SI",$D$15="NO",B168&gt;18),(PMT(0.06/12,$K$9,-$C$51)-PMT(0.045/12,$K$9,-$C$51)),IF(AND($D$8=Variables!$B$4,$D$12="SI",$D$19="NO",$D$13="SI",$D$15="SI",B168&gt;24),(PMT(0.06/12,$K$9,-$C$57)-PMT(0.045/12,$K$9,-$C$57)),0)))))</f>
        <v>111.43825839224587</v>
      </c>
      <c r="G168" s="14">
        <f>+IF(B168&gt;$K$9,"",IF($D$8=Variables!$B$6,0.21*IPMT('Sim Reg N° 800'!$D$18,'Sim Reg N° 800'!B168,'Sim Reg N° 800'!$K$9,-'Sim Reg N° 800'!$J$10),0))+F168*0.21</f>
        <v>23.402034262371632</v>
      </c>
      <c r="H168" s="14">
        <f t="shared" si="16"/>
        <v>742.86266444567423</v>
      </c>
      <c r="I168" s="14">
        <f t="shared" si="14"/>
        <v>0</v>
      </c>
      <c r="J168" s="14">
        <f t="shared" si="15"/>
        <v>742.86266444567423</v>
      </c>
      <c r="K168" s="26">
        <f t="shared" si="17"/>
        <v>222.85879933370225</v>
      </c>
      <c r="L168" s="21"/>
      <c r="M168" s="19"/>
      <c r="R168" s="20"/>
    </row>
    <row r="169" spans="1:18" hidden="1" x14ac:dyDescent="0.2">
      <c r="A169" s="7"/>
      <c r="B169" s="42">
        <v>136</v>
      </c>
      <c r="C169" s="14">
        <f t="shared" si="13"/>
        <v>92032.000196516005</v>
      </c>
      <c r="D169" s="14">
        <f>IF(B169&gt;$K$9,"",IF($D$8=Variables!$B$3,PPMT($D$18,B169,$K$9,-$J$10),IF($D$8=Variables!$B$6,PPMT($D$18,B169,$K$9,-$J$10),IF($D$8=Variables!$B$5,PPMT($D$18,B169-12,$K$9-12,-$C$45),IF(AND($D$8=Variables!$B$4,$D$15="si"),0,PPMT($D$18,B169-18,$K$9-18,-$J$10-SUM($L$34:$L$51))))))+IF(AND($D$8=Variables!$B$4,'Sim Reg N° 800'!$D$15="SI"),PPMT($D$18,B169-24,$K$9-24,-$J$10-SUM($M$34:$M$57))))</f>
        <v>261.92017041506534</v>
      </c>
      <c r="E169" s="14">
        <f>IF(B169&gt;$K$9,"",IF($D$8=Variables!$B$3,IPMT($D$18,B169,$K$9,-$J$10),IF($D$8=Variables!$B$6,IPMT($D$18,B169,$K$9,-$J$10),IF($D$8=Variables!$B$5,IPMT($D$18,B169-12,$K$9-12,-$C$45),IF(AND($D$8=Variables!$B$4,$D$15="si"),0,IPMT($D$18,B169-18,$K$9-18,-$J$10-SUM($L$34:$L$51))))))+IF(AND($D$8=Variables!$B$4,'Sim Reg N° 800'!$D$15="SI"),IPMT($D$18,B169-24,$K$9-24,-$J$10-SUM($M$34:$M$57))))</f>
        <v>346.10220137599151</v>
      </c>
      <c r="F169" s="14">
        <f>IF(B169&gt;$K$9,"",IF(AND($D$8=Variables!$B$3,$D$12="SI",$D$19="NO",$D$13="SI",B169&gt;=7),(PMT(0.06/12,$K$9,-$C$33)-PMT(0.045/12,$K$9,-$C$33)),IF(AND($D$8=Variables!$B$5,$D$19="NO",$D$12="SI",$D$13="SI",B169&gt;12),(PMT(0.06/12,$K$9,-$C$45)-PMT(0.045/12,$K$9,-$C$45)),IF(AND($D$8=Variables!$B$4,$D$12="SI",$D$19="NO",$D$13="SI",$D$15="NO",B169&gt;18),(PMT(0.06/12,$K$9,-$C$51)-PMT(0.045/12,$K$9,-$C$51)),IF(AND($D$8=Variables!$B$4,$D$12="SI",$D$19="NO",$D$13="SI",$D$15="SI",B169&gt;24),(PMT(0.06/12,$K$9,-$C$57)-PMT(0.045/12,$K$9,-$C$57)),0)))))</f>
        <v>111.43825839224587</v>
      </c>
      <c r="G169" s="14">
        <f>+IF(B169&gt;$K$9,"",IF($D$8=Variables!$B$6,0.21*IPMT('Sim Reg N° 800'!$D$18,'Sim Reg N° 800'!B169,'Sim Reg N° 800'!$K$9,-'Sim Reg N° 800'!$J$10),0))+F169*0.21</f>
        <v>23.402034262371632</v>
      </c>
      <c r="H169" s="14">
        <f t="shared" si="16"/>
        <v>742.86266444567434</v>
      </c>
      <c r="I169" s="14">
        <f t="shared" si="14"/>
        <v>0</v>
      </c>
      <c r="J169" s="14">
        <f t="shared" si="15"/>
        <v>742.86266444567434</v>
      </c>
      <c r="K169" s="26">
        <f t="shared" si="17"/>
        <v>222.85879933370231</v>
      </c>
      <c r="L169" s="21"/>
      <c r="M169" s="19"/>
      <c r="R169" s="20"/>
    </row>
    <row r="170" spans="1:18" hidden="1" x14ac:dyDescent="0.2">
      <c r="A170" s="7"/>
      <c r="B170" s="42">
        <v>137</v>
      </c>
      <c r="C170" s="14">
        <f t="shared" si="13"/>
        <v>91769.097825461882</v>
      </c>
      <c r="D170" s="14">
        <f>IF(B170&gt;$K$9,"",IF($D$8=Variables!$B$3,PPMT($D$18,B170,$K$9,-$J$10),IF($D$8=Variables!$B$6,PPMT($D$18,B170,$K$9,-$J$10),IF($D$8=Variables!$B$5,PPMT($D$18,B170-12,$K$9-12,-$C$45),IF(AND($D$8=Variables!$B$4,$D$15="si"),0,PPMT($D$18,B170-18,$K$9-18,-$J$10-SUM($L$34:$L$51))))))+IF(AND($D$8=Variables!$B$4,'Sim Reg N° 800'!$D$15="SI"),PPMT($D$18,B170-24,$K$9-24,-$J$10-SUM($M$34:$M$57))))</f>
        <v>262.90237105412183</v>
      </c>
      <c r="E170" s="14">
        <f>IF(B170&gt;$K$9,"",IF($D$8=Variables!$B$3,IPMT($D$18,B170,$K$9,-$J$10),IF($D$8=Variables!$B$6,IPMT($D$18,B170,$K$9,-$J$10),IF($D$8=Variables!$B$5,IPMT($D$18,B170-12,$K$9-12,-$C$45),IF(AND($D$8=Variables!$B$4,$D$15="si"),0,IPMT($D$18,B170-18,$K$9-18,-$J$10-SUM($L$34:$L$51))))))+IF(AND($D$8=Variables!$B$4,'Sim Reg N° 800'!$D$15="SI"),IPMT($D$18,B170-24,$K$9-24,-$J$10-SUM($M$34:$M$57))))</f>
        <v>345.12000073693503</v>
      </c>
      <c r="F170" s="14">
        <f>IF(B170&gt;$K$9,"",IF(AND($D$8=Variables!$B$3,$D$12="SI",$D$19="NO",$D$13="SI",B170&gt;=7),(PMT(0.06/12,$K$9,-$C$33)-PMT(0.045/12,$K$9,-$C$33)),IF(AND($D$8=Variables!$B$5,$D$19="NO",$D$12="SI",$D$13="SI",B170&gt;12),(PMT(0.06/12,$K$9,-$C$45)-PMT(0.045/12,$K$9,-$C$45)),IF(AND($D$8=Variables!$B$4,$D$12="SI",$D$19="NO",$D$13="SI",$D$15="NO",B170&gt;18),(PMT(0.06/12,$K$9,-$C$51)-PMT(0.045/12,$K$9,-$C$51)),IF(AND($D$8=Variables!$B$4,$D$12="SI",$D$19="NO",$D$13="SI",$D$15="SI",B170&gt;24),(PMT(0.06/12,$K$9,-$C$57)-PMT(0.045/12,$K$9,-$C$57)),0)))))</f>
        <v>111.43825839224587</v>
      </c>
      <c r="G170" s="14">
        <f>+IF(B170&gt;$K$9,"",IF($D$8=Variables!$B$6,0.21*IPMT('Sim Reg N° 800'!$D$18,'Sim Reg N° 800'!B170,'Sim Reg N° 800'!$K$9,-'Sim Reg N° 800'!$J$10),0))+F170*0.21</f>
        <v>23.402034262371632</v>
      </c>
      <c r="H170" s="14">
        <f t="shared" si="16"/>
        <v>742.86266444567434</v>
      </c>
      <c r="I170" s="14">
        <f t="shared" si="14"/>
        <v>0</v>
      </c>
      <c r="J170" s="14">
        <f t="shared" si="15"/>
        <v>742.86266444567434</v>
      </c>
      <c r="K170" s="26">
        <f t="shared" si="17"/>
        <v>222.85879933370231</v>
      </c>
      <c r="L170" s="21"/>
      <c r="M170" s="19"/>
      <c r="R170" s="20"/>
    </row>
    <row r="171" spans="1:18" hidden="1" x14ac:dyDescent="0.2">
      <c r="A171" s="7"/>
      <c r="B171" s="42">
        <v>138</v>
      </c>
      <c r="C171" s="14">
        <f t="shared" si="13"/>
        <v>91505.209570516308</v>
      </c>
      <c r="D171" s="14">
        <f>IF(B171&gt;$K$9,"",IF($D$8=Variables!$B$3,PPMT($D$18,B171,$K$9,-$J$10),IF($D$8=Variables!$B$6,PPMT($D$18,B171,$K$9,-$J$10),IF($D$8=Variables!$B$5,PPMT($D$18,B171-12,$K$9-12,-$C$45),IF(AND($D$8=Variables!$B$4,$D$15="si"),0,PPMT($D$18,B171-18,$K$9-18,-$J$10-SUM($L$34:$L$51))))))+IF(AND($D$8=Variables!$B$4,'Sim Reg N° 800'!$D$15="SI"),PPMT($D$18,B171-24,$K$9-24,-$J$10-SUM($M$34:$M$57))))</f>
        <v>263.88825494557477</v>
      </c>
      <c r="E171" s="14">
        <f>IF(B171&gt;$K$9,"",IF($D$8=Variables!$B$3,IPMT($D$18,B171,$K$9,-$J$10),IF($D$8=Variables!$B$6,IPMT($D$18,B171,$K$9,-$J$10),IF($D$8=Variables!$B$5,IPMT($D$18,B171-12,$K$9-12,-$C$45),IF(AND($D$8=Variables!$B$4,$D$15="si"),0,IPMT($D$18,B171-18,$K$9-18,-$J$10-SUM($L$34:$L$51))))))+IF(AND($D$8=Variables!$B$4,'Sim Reg N° 800'!$D$15="SI"),IPMT($D$18,B171-24,$K$9-24,-$J$10-SUM($M$34:$M$57))))</f>
        <v>344.13411684548197</v>
      </c>
      <c r="F171" s="14">
        <f>IF(B171&gt;$K$9,"",IF(AND($D$8=Variables!$B$3,$D$12="SI",$D$19="NO",$D$13="SI",B171&gt;=7),(PMT(0.06/12,$K$9,-$C$33)-PMT(0.045/12,$K$9,-$C$33)),IF(AND($D$8=Variables!$B$5,$D$19="NO",$D$12="SI",$D$13="SI",B171&gt;12),(PMT(0.06/12,$K$9,-$C$45)-PMT(0.045/12,$K$9,-$C$45)),IF(AND($D$8=Variables!$B$4,$D$12="SI",$D$19="NO",$D$13="SI",$D$15="NO",B171&gt;18),(PMT(0.06/12,$K$9,-$C$51)-PMT(0.045/12,$K$9,-$C$51)),IF(AND($D$8=Variables!$B$4,$D$12="SI",$D$19="NO",$D$13="SI",$D$15="SI",B171&gt;24),(PMT(0.06/12,$K$9,-$C$57)-PMT(0.045/12,$K$9,-$C$57)),0)))))</f>
        <v>111.43825839224587</v>
      </c>
      <c r="G171" s="14">
        <f>+IF(B171&gt;$K$9,"",IF($D$8=Variables!$B$6,0.21*IPMT('Sim Reg N° 800'!$D$18,'Sim Reg N° 800'!B171,'Sim Reg N° 800'!$K$9,-'Sim Reg N° 800'!$J$10),0))+F171*0.21</f>
        <v>23.402034262371632</v>
      </c>
      <c r="H171" s="14">
        <f t="shared" si="16"/>
        <v>742.86266444567423</v>
      </c>
      <c r="I171" s="14">
        <f t="shared" si="14"/>
        <v>0</v>
      </c>
      <c r="J171" s="14">
        <f t="shared" si="15"/>
        <v>742.86266444567423</v>
      </c>
      <c r="K171" s="26">
        <f t="shared" si="17"/>
        <v>222.85879933370225</v>
      </c>
      <c r="L171" s="21"/>
      <c r="M171" s="19"/>
      <c r="R171" s="20"/>
    </row>
    <row r="172" spans="1:18" hidden="1" x14ac:dyDescent="0.2">
      <c r="A172" s="7"/>
      <c r="B172" s="42">
        <v>139</v>
      </c>
      <c r="C172" s="14">
        <f t="shared" si="13"/>
        <v>91240.331734614694</v>
      </c>
      <c r="D172" s="14">
        <f>IF(B172&gt;$K$9,"",IF($D$8=Variables!$B$3,PPMT($D$18,B172,$K$9,-$J$10),IF($D$8=Variables!$B$6,PPMT($D$18,B172,$K$9,-$J$10),IF($D$8=Variables!$B$5,PPMT($D$18,B172-12,$K$9-12,-$C$45),IF(AND($D$8=Variables!$B$4,$D$15="si"),0,PPMT($D$18,B172-18,$K$9-18,-$J$10-SUM($L$34:$L$51))))))+IF(AND($D$8=Variables!$B$4,'Sim Reg N° 800'!$D$15="SI"),PPMT($D$18,B172-24,$K$9-24,-$J$10-SUM($M$34:$M$57))))</f>
        <v>264.8778359016207</v>
      </c>
      <c r="E172" s="14">
        <f>IF(B172&gt;$K$9,"",IF($D$8=Variables!$B$3,IPMT($D$18,B172,$K$9,-$J$10),IF($D$8=Variables!$B$6,IPMT($D$18,B172,$K$9,-$J$10),IF($D$8=Variables!$B$5,IPMT($D$18,B172-12,$K$9-12,-$C$45),IF(AND($D$8=Variables!$B$4,$D$15="si"),0,IPMT($D$18,B172-18,$K$9-18,-$J$10-SUM($L$34:$L$51))))))+IF(AND($D$8=Variables!$B$4,'Sim Reg N° 800'!$D$15="SI"),IPMT($D$18,B172-24,$K$9-24,-$J$10-SUM($M$34:$M$57))))</f>
        <v>343.1445358894361</v>
      </c>
      <c r="F172" s="14">
        <f>IF(B172&gt;$K$9,"",IF(AND($D$8=Variables!$B$3,$D$12="SI",$D$19="NO",$D$13="SI",B172&gt;=7),(PMT(0.06/12,$K$9,-$C$33)-PMT(0.045/12,$K$9,-$C$33)),IF(AND($D$8=Variables!$B$5,$D$19="NO",$D$12="SI",$D$13="SI",B172&gt;12),(PMT(0.06/12,$K$9,-$C$45)-PMT(0.045/12,$K$9,-$C$45)),IF(AND($D$8=Variables!$B$4,$D$12="SI",$D$19="NO",$D$13="SI",$D$15="NO",B172&gt;18),(PMT(0.06/12,$K$9,-$C$51)-PMT(0.045/12,$K$9,-$C$51)),IF(AND($D$8=Variables!$B$4,$D$12="SI",$D$19="NO",$D$13="SI",$D$15="SI",B172&gt;24),(PMT(0.06/12,$K$9,-$C$57)-PMT(0.045/12,$K$9,-$C$57)),0)))))</f>
        <v>111.43825839224587</v>
      </c>
      <c r="G172" s="14">
        <f>+IF(B172&gt;$K$9,"",IF($D$8=Variables!$B$6,0.21*IPMT('Sim Reg N° 800'!$D$18,'Sim Reg N° 800'!B172,'Sim Reg N° 800'!$K$9,-'Sim Reg N° 800'!$J$10),0))+F172*0.21</f>
        <v>23.402034262371632</v>
      </c>
      <c r="H172" s="14">
        <f t="shared" si="16"/>
        <v>742.86266444567423</v>
      </c>
      <c r="I172" s="14">
        <f t="shared" si="14"/>
        <v>0</v>
      </c>
      <c r="J172" s="14">
        <f t="shared" si="15"/>
        <v>742.86266444567423</v>
      </c>
      <c r="K172" s="26">
        <f t="shared" si="17"/>
        <v>222.85879933370225</v>
      </c>
      <c r="L172" s="21"/>
      <c r="M172" s="19"/>
      <c r="R172" s="20"/>
    </row>
    <row r="173" spans="1:18" hidden="1" x14ac:dyDescent="0.2">
      <c r="A173" s="7"/>
      <c r="B173" s="42">
        <v>140</v>
      </c>
      <c r="C173" s="14">
        <f t="shared" si="13"/>
        <v>90974.460606828448</v>
      </c>
      <c r="D173" s="14">
        <f>IF(B173&gt;$K$9,"",IF($D$8=Variables!$B$3,PPMT($D$18,B173,$K$9,-$J$10),IF($D$8=Variables!$B$6,PPMT($D$18,B173,$K$9,-$J$10),IF($D$8=Variables!$B$5,PPMT($D$18,B173-12,$K$9-12,-$C$45),IF(AND($D$8=Variables!$B$4,$D$15="si"),0,PPMT($D$18,B173-18,$K$9-18,-$J$10-SUM($L$34:$L$51))))))+IF(AND($D$8=Variables!$B$4,'Sim Reg N° 800'!$D$15="SI"),PPMT($D$18,B173-24,$K$9-24,-$J$10-SUM($M$34:$M$57))))</f>
        <v>265.87112778625175</v>
      </c>
      <c r="E173" s="14">
        <f>IF(B173&gt;$K$9,"",IF($D$8=Variables!$B$3,IPMT($D$18,B173,$K$9,-$J$10),IF($D$8=Variables!$B$6,IPMT($D$18,B173,$K$9,-$J$10),IF($D$8=Variables!$B$5,IPMT($D$18,B173-12,$K$9-12,-$C$45),IF(AND($D$8=Variables!$B$4,$D$15="si"),0,IPMT($D$18,B173-18,$K$9-18,-$J$10-SUM($L$34:$L$51))))))+IF(AND($D$8=Variables!$B$4,'Sim Reg N° 800'!$D$15="SI"),IPMT($D$18,B173-24,$K$9-24,-$J$10-SUM($M$34:$M$57))))</f>
        <v>342.15124400480511</v>
      </c>
      <c r="F173" s="14">
        <f>IF(B173&gt;$K$9,"",IF(AND($D$8=Variables!$B$3,$D$12="SI",$D$19="NO",$D$13="SI",B173&gt;=7),(PMT(0.06/12,$K$9,-$C$33)-PMT(0.045/12,$K$9,-$C$33)),IF(AND($D$8=Variables!$B$5,$D$19="NO",$D$12="SI",$D$13="SI",B173&gt;12),(PMT(0.06/12,$K$9,-$C$45)-PMT(0.045/12,$K$9,-$C$45)),IF(AND($D$8=Variables!$B$4,$D$12="SI",$D$19="NO",$D$13="SI",$D$15="NO",B173&gt;18),(PMT(0.06/12,$K$9,-$C$51)-PMT(0.045/12,$K$9,-$C$51)),IF(AND($D$8=Variables!$B$4,$D$12="SI",$D$19="NO",$D$13="SI",$D$15="SI",B173&gt;24),(PMT(0.06/12,$K$9,-$C$57)-PMT(0.045/12,$K$9,-$C$57)),0)))))</f>
        <v>111.43825839224587</v>
      </c>
      <c r="G173" s="14">
        <f>+IF(B173&gt;$K$9,"",IF($D$8=Variables!$B$6,0.21*IPMT('Sim Reg N° 800'!$D$18,'Sim Reg N° 800'!B173,'Sim Reg N° 800'!$K$9,-'Sim Reg N° 800'!$J$10),0))+F173*0.21</f>
        <v>23.402034262371632</v>
      </c>
      <c r="H173" s="14">
        <f t="shared" si="16"/>
        <v>742.86266444567434</v>
      </c>
      <c r="I173" s="14">
        <f t="shared" si="14"/>
        <v>0</v>
      </c>
      <c r="J173" s="14">
        <f t="shared" si="15"/>
        <v>742.86266444567434</v>
      </c>
      <c r="K173" s="26">
        <f t="shared" si="17"/>
        <v>222.85879933370231</v>
      </c>
      <c r="L173" s="21"/>
      <c r="M173" s="19"/>
      <c r="R173" s="20"/>
    </row>
    <row r="174" spans="1:18" hidden="1" x14ac:dyDescent="0.2">
      <c r="A174" s="7"/>
      <c r="B174" s="42">
        <v>141</v>
      </c>
      <c r="C174" s="14">
        <f t="shared" si="13"/>
        <v>90707.592462312998</v>
      </c>
      <c r="D174" s="14">
        <f>IF(B174&gt;$K$9,"",IF($D$8=Variables!$B$3,PPMT($D$18,B174,$K$9,-$J$10),IF($D$8=Variables!$B$6,PPMT($D$18,B174,$K$9,-$J$10),IF($D$8=Variables!$B$5,PPMT($D$18,B174-12,$K$9-12,-$C$45),IF(AND($D$8=Variables!$B$4,$D$15="si"),0,PPMT($D$18,B174-18,$K$9-18,-$J$10-SUM($L$34:$L$51))))))+IF(AND($D$8=Variables!$B$4,'Sim Reg N° 800'!$D$15="SI"),PPMT($D$18,B174-24,$K$9-24,-$J$10-SUM($M$34:$M$57))))</f>
        <v>266.86814451545024</v>
      </c>
      <c r="E174" s="14">
        <f>IF(B174&gt;$K$9,"",IF($D$8=Variables!$B$3,IPMT($D$18,B174,$K$9,-$J$10),IF($D$8=Variables!$B$6,IPMT($D$18,B174,$K$9,-$J$10),IF($D$8=Variables!$B$5,IPMT($D$18,B174-12,$K$9-12,-$C$45),IF(AND($D$8=Variables!$B$4,$D$15="si"),0,IPMT($D$18,B174-18,$K$9-18,-$J$10-SUM($L$34:$L$51))))))+IF(AND($D$8=Variables!$B$4,'Sim Reg N° 800'!$D$15="SI"),IPMT($D$18,B174-24,$K$9-24,-$J$10-SUM($M$34:$M$57))))</f>
        <v>341.15422727560667</v>
      </c>
      <c r="F174" s="14">
        <f>IF(B174&gt;$K$9,"",IF(AND($D$8=Variables!$B$3,$D$12="SI",$D$19="NO",$D$13="SI",B174&gt;=7),(PMT(0.06/12,$K$9,-$C$33)-PMT(0.045/12,$K$9,-$C$33)),IF(AND($D$8=Variables!$B$5,$D$19="NO",$D$12="SI",$D$13="SI",B174&gt;12),(PMT(0.06/12,$K$9,-$C$45)-PMT(0.045/12,$K$9,-$C$45)),IF(AND($D$8=Variables!$B$4,$D$12="SI",$D$19="NO",$D$13="SI",$D$15="NO",B174&gt;18),(PMT(0.06/12,$K$9,-$C$51)-PMT(0.045/12,$K$9,-$C$51)),IF(AND($D$8=Variables!$B$4,$D$12="SI",$D$19="NO",$D$13="SI",$D$15="SI",B174&gt;24),(PMT(0.06/12,$K$9,-$C$57)-PMT(0.045/12,$K$9,-$C$57)),0)))))</f>
        <v>111.43825839224587</v>
      </c>
      <c r="G174" s="14">
        <f>+IF(B174&gt;$K$9,"",IF($D$8=Variables!$B$6,0.21*IPMT('Sim Reg N° 800'!$D$18,'Sim Reg N° 800'!B174,'Sim Reg N° 800'!$K$9,-'Sim Reg N° 800'!$J$10),0))+F174*0.21</f>
        <v>23.402034262371632</v>
      </c>
      <c r="H174" s="14">
        <f t="shared" si="16"/>
        <v>742.86266444567445</v>
      </c>
      <c r="I174" s="14">
        <f t="shared" si="14"/>
        <v>0</v>
      </c>
      <c r="J174" s="14">
        <f t="shared" si="15"/>
        <v>742.86266444567445</v>
      </c>
      <c r="K174" s="26">
        <f t="shared" si="17"/>
        <v>222.85879933370234</v>
      </c>
      <c r="L174" s="21"/>
      <c r="M174" s="19"/>
      <c r="R174" s="20"/>
    </row>
    <row r="175" spans="1:18" hidden="1" x14ac:dyDescent="0.2">
      <c r="A175" s="7"/>
      <c r="B175" s="42">
        <v>142</v>
      </c>
      <c r="C175" s="14">
        <f t="shared" si="13"/>
        <v>90439.723562255618</v>
      </c>
      <c r="D175" s="14">
        <f>IF(B175&gt;$K$9,"",IF($D$8=Variables!$B$3,PPMT($D$18,B175,$K$9,-$J$10),IF($D$8=Variables!$B$6,PPMT($D$18,B175,$K$9,-$J$10),IF($D$8=Variables!$B$5,PPMT($D$18,B175-12,$K$9-12,-$C$45),IF(AND($D$8=Variables!$B$4,$D$15="si"),0,PPMT($D$18,B175-18,$K$9-18,-$J$10-SUM($L$34:$L$51))))))+IF(AND($D$8=Variables!$B$4,'Sim Reg N° 800'!$D$15="SI"),PPMT($D$18,B175-24,$K$9-24,-$J$10-SUM($M$34:$M$57))))</f>
        <v>267.86890005738314</v>
      </c>
      <c r="E175" s="14">
        <f>IF(B175&gt;$K$9,"",IF($D$8=Variables!$B$3,IPMT($D$18,B175,$K$9,-$J$10),IF($D$8=Variables!$B$6,IPMT($D$18,B175,$K$9,-$J$10),IF($D$8=Variables!$B$5,IPMT($D$18,B175-12,$K$9-12,-$C$45),IF(AND($D$8=Variables!$B$4,$D$15="si"),0,IPMT($D$18,B175-18,$K$9-18,-$J$10-SUM($L$34:$L$51))))))+IF(AND($D$8=Variables!$B$4,'Sim Reg N° 800'!$D$15="SI"),IPMT($D$18,B175-24,$K$9-24,-$J$10-SUM($M$34:$M$57))))</f>
        <v>340.15347173367365</v>
      </c>
      <c r="F175" s="14">
        <f>IF(B175&gt;$K$9,"",IF(AND($D$8=Variables!$B$3,$D$12="SI",$D$19="NO",$D$13="SI",B175&gt;=7),(PMT(0.06/12,$K$9,-$C$33)-PMT(0.045/12,$K$9,-$C$33)),IF(AND($D$8=Variables!$B$5,$D$19="NO",$D$12="SI",$D$13="SI",B175&gt;12),(PMT(0.06/12,$K$9,-$C$45)-PMT(0.045/12,$K$9,-$C$45)),IF(AND($D$8=Variables!$B$4,$D$12="SI",$D$19="NO",$D$13="SI",$D$15="NO",B175&gt;18),(PMT(0.06/12,$K$9,-$C$51)-PMT(0.045/12,$K$9,-$C$51)),IF(AND($D$8=Variables!$B$4,$D$12="SI",$D$19="NO",$D$13="SI",$D$15="SI",B175&gt;24),(PMT(0.06/12,$K$9,-$C$57)-PMT(0.045/12,$K$9,-$C$57)),0)))))</f>
        <v>111.43825839224587</v>
      </c>
      <c r="G175" s="14">
        <f>+IF(B175&gt;$K$9,"",IF($D$8=Variables!$B$6,0.21*IPMT('Sim Reg N° 800'!$D$18,'Sim Reg N° 800'!B175,'Sim Reg N° 800'!$K$9,-'Sim Reg N° 800'!$J$10),0))+F175*0.21</f>
        <v>23.402034262371632</v>
      </c>
      <c r="H175" s="14">
        <f t="shared" si="16"/>
        <v>742.86266444567423</v>
      </c>
      <c r="I175" s="14">
        <f t="shared" si="14"/>
        <v>0</v>
      </c>
      <c r="J175" s="14">
        <f t="shared" si="15"/>
        <v>742.86266444567423</v>
      </c>
      <c r="K175" s="26">
        <f t="shared" si="17"/>
        <v>222.85879933370225</v>
      </c>
      <c r="L175" s="21"/>
      <c r="M175" s="19"/>
      <c r="R175" s="20"/>
    </row>
    <row r="176" spans="1:18" hidden="1" x14ac:dyDescent="0.2">
      <c r="A176" s="7"/>
      <c r="B176" s="42">
        <v>143</v>
      </c>
      <c r="C176" s="14">
        <f t="shared" si="13"/>
        <v>90170.850153823019</v>
      </c>
      <c r="D176" s="14">
        <f>IF(B176&gt;$K$9,"",IF($D$8=Variables!$B$3,PPMT($D$18,B176,$K$9,-$J$10),IF($D$8=Variables!$B$6,PPMT($D$18,B176,$K$9,-$J$10),IF($D$8=Variables!$B$5,PPMT($D$18,B176-12,$K$9-12,-$C$45),IF(AND($D$8=Variables!$B$4,$D$15="si"),0,PPMT($D$18,B176-18,$K$9-18,-$J$10-SUM($L$34:$L$51))))))+IF(AND($D$8=Variables!$B$4,'Sim Reg N° 800'!$D$15="SI"),PPMT($D$18,B176-24,$K$9-24,-$J$10-SUM($M$34:$M$57))))</f>
        <v>268.87340843259841</v>
      </c>
      <c r="E176" s="14">
        <f>IF(B176&gt;$K$9,"",IF($D$8=Variables!$B$3,IPMT($D$18,B176,$K$9,-$J$10),IF($D$8=Variables!$B$6,IPMT($D$18,B176,$K$9,-$J$10),IF($D$8=Variables!$B$5,IPMT($D$18,B176-12,$K$9-12,-$C$45),IF(AND($D$8=Variables!$B$4,$D$15="si"),0,IPMT($D$18,B176-18,$K$9-18,-$J$10-SUM($L$34:$L$51))))))+IF(AND($D$8=Variables!$B$4,'Sim Reg N° 800'!$D$15="SI"),IPMT($D$18,B176-24,$K$9-24,-$J$10-SUM($M$34:$M$57))))</f>
        <v>339.14896335845845</v>
      </c>
      <c r="F176" s="14">
        <f>IF(B176&gt;$K$9,"",IF(AND($D$8=Variables!$B$3,$D$12="SI",$D$19="NO",$D$13="SI",B176&gt;=7),(PMT(0.06/12,$K$9,-$C$33)-PMT(0.045/12,$K$9,-$C$33)),IF(AND($D$8=Variables!$B$5,$D$19="NO",$D$12="SI",$D$13="SI",B176&gt;12),(PMT(0.06/12,$K$9,-$C$45)-PMT(0.045/12,$K$9,-$C$45)),IF(AND($D$8=Variables!$B$4,$D$12="SI",$D$19="NO",$D$13="SI",$D$15="NO",B176&gt;18),(PMT(0.06/12,$K$9,-$C$51)-PMT(0.045/12,$K$9,-$C$51)),IF(AND($D$8=Variables!$B$4,$D$12="SI",$D$19="NO",$D$13="SI",$D$15="SI",B176&gt;24),(PMT(0.06/12,$K$9,-$C$57)-PMT(0.045/12,$K$9,-$C$57)),0)))))</f>
        <v>111.43825839224587</v>
      </c>
      <c r="G176" s="14">
        <f>+IF(B176&gt;$K$9,"",IF($D$8=Variables!$B$6,0.21*IPMT('Sim Reg N° 800'!$D$18,'Sim Reg N° 800'!B176,'Sim Reg N° 800'!$K$9,-'Sim Reg N° 800'!$J$10),0))+F176*0.21</f>
        <v>23.402034262371632</v>
      </c>
      <c r="H176" s="14">
        <f t="shared" si="16"/>
        <v>742.86266444567434</v>
      </c>
      <c r="I176" s="14">
        <f t="shared" si="14"/>
        <v>0</v>
      </c>
      <c r="J176" s="14">
        <f t="shared" si="15"/>
        <v>742.86266444567434</v>
      </c>
      <c r="K176" s="26">
        <f t="shared" si="17"/>
        <v>222.85879933370231</v>
      </c>
      <c r="L176" s="21"/>
      <c r="M176" s="19"/>
      <c r="R176" s="20"/>
    </row>
    <row r="177" spans="1:18" hidden="1" x14ac:dyDescent="0.2">
      <c r="A177" s="7"/>
      <c r="B177" s="42">
        <v>144</v>
      </c>
      <c r="C177" s="14">
        <f t="shared" si="13"/>
        <v>89900.968470108797</v>
      </c>
      <c r="D177" s="14">
        <f>IF(B177&gt;$K$9,"",IF($D$8=Variables!$B$3,PPMT($D$18,B177,$K$9,-$J$10),IF($D$8=Variables!$B$6,PPMT($D$18,B177,$K$9,-$J$10),IF($D$8=Variables!$B$5,PPMT($D$18,B177-12,$K$9-12,-$C$45),IF(AND($D$8=Variables!$B$4,$D$15="si"),0,PPMT($D$18,B177-18,$K$9-18,-$J$10-SUM($L$34:$L$51))))))+IF(AND($D$8=Variables!$B$4,'Sim Reg N° 800'!$D$15="SI"),PPMT($D$18,B177-24,$K$9-24,-$J$10-SUM($M$34:$M$57))))</f>
        <v>269.88168371422057</v>
      </c>
      <c r="E177" s="14">
        <f>IF(B177&gt;$K$9,"",IF($D$8=Variables!$B$3,IPMT($D$18,B177,$K$9,-$J$10),IF($D$8=Variables!$B$6,IPMT($D$18,B177,$K$9,-$J$10),IF($D$8=Variables!$B$5,IPMT($D$18,B177-12,$K$9-12,-$C$45),IF(AND($D$8=Variables!$B$4,$D$15="si"),0,IPMT($D$18,B177-18,$K$9-18,-$J$10-SUM($L$34:$L$51))))))+IF(AND($D$8=Variables!$B$4,'Sim Reg N° 800'!$D$15="SI"),IPMT($D$18,B177-24,$K$9-24,-$J$10-SUM($M$34:$M$57))))</f>
        <v>338.14068807683623</v>
      </c>
      <c r="F177" s="14">
        <f>IF(B177&gt;$K$9,"",IF(AND($D$8=Variables!$B$3,$D$12="SI",$D$19="NO",$D$13="SI",B177&gt;=7),(PMT(0.06/12,$K$9,-$C$33)-PMT(0.045/12,$K$9,-$C$33)),IF(AND($D$8=Variables!$B$5,$D$19="NO",$D$12="SI",$D$13="SI",B177&gt;12),(PMT(0.06/12,$K$9,-$C$45)-PMT(0.045/12,$K$9,-$C$45)),IF(AND($D$8=Variables!$B$4,$D$12="SI",$D$19="NO",$D$13="SI",$D$15="NO",B177&gt;18),(PMT(0.06/12,$K$9,-$C$51)-PMT(0.045/12,$K$9,-$C$51)),IF(AND($D$8=Variables!$B$4,$D$12="SI",$D$19="NO",$D$13="SI",$D$15="SI",B177&gt;24),(PMT(0.06/12,$K$9,-$C$57)-PMT(0.045/12,$K$9,-$C$57)),0)))))</f>
        <v>111.43825839224587</v>
      </c>
      <c r="G177" s="14">
        <f>+IF(B177&gt;$K$9,"",IF($D$8=Variables!$B$6,0.21*IPMT('Sim Reg N° 800'!$D$18,'Sim Reg N° 800'!B177,'Sim Reg N° 800'!$K$9,-'Sim Reg N° 800'!$J$10),0))+F177*0.21</f>
        <v>23.402034262371632</v>
      </c>
      <c r="H177" s="14">
        <f t="shared" si="16"/>
        <v>742.86266444567423</v>
      </c>
      <c r="I177" s="14">
        <f t="shared" si="14"/>
        <v>0</v>
      </c>
      <c r="J177" s="14">
        <f t="shared" si="15"/>
        <v>742.86266444567423</v>
      </c>
      <c r="K177" s="26">
        <f t="shared" si="17"/>
        <v>222.85879933370225</v>
      </c>
      <c r="L177" s="21"/>
      <c r="M177" s="19"/>
      <c r="R177" s="20"/>
    </row>
    <row r="178" spans="1:18" hidden="1" x14ac:dyDescent="0.2">
      <c r="A178" s="7"/>
      <c r="B178" s="42">
        <v>145</v>
      </c>
      <c r="C178" s="14">
        <f t="shared" si="13"/>
        <v>89630.074730080654</v>
      </c>
      <c r="D178" s="14">
        <f>IF(B178&gt;$K$9,"",IF($D$8=Variables!$B$3,PPMT($D$18,B178,$K$9,-$J$10),IF($D$8=Variables!$B$6,PPMT($D$18,B178,$K$9,-$J$10),IF($D$8=Variables!$B$5,PPMT($D$18,B178-12,$K$9-12,-$C$45),IF(AND($D$8=Variables!$B$4,$D$15="si"),0,PPMT($D$18,B178-18,$K$9-18,-$J$10-SUM($L$34:$L$51))))))+IF(AND($D$8=Variables!$B$4,'Sim Reg N° 800'!$D$15="SI"),PPMT($D$18,B178-24,$K$9-24,-$J$10-SUM($M$34:$M$57))))</f>
        <v>270.8937400281489</v>
      </c>
      <c r="E178" s="14">
        <f>IF(B178&gt;$K$9,"",IF($D$8=Variables!$B$3,IPMT($D$18,B178,$K$9,-$J$10),IF($D$8=Variables!$B$6,IPMT($D$18,B178,$K$9,-$J$10),IF($D$8=Variables!$B$5,IPMT($D$18,B178-12,$K$9-12,-$C$45),IF(AND($D$8=Variables!$B$4,$D$15="si"),0,IPMT($D$18,B178-18,$K$9-18,-$J$10-SUM($L$34:$L$51))))))+IF(AND($D$8=Variables!$B$4,'Sim Reg N° 800'!$D$15="SI"),IPMT($D$18,B178-24,$K$9-24,-$J$10-SUM($M$34:$M$57))))</f>
        <v>337.12863176290784</v>
      </c>
      <c r="F178" s="14">
        <f>IF(B178&gt;$K$9,"",IF(AND($D$8=Variables!$B$3,$D$12="SI",$D$19="NO",$D$13="SI",B178&gt;=7),(PMT(0.06/12,$K$9,-$C$33)-PMT(0.045/12,$K$9,-$C$33)),IF(AND($D$8=Variables!$B$5,$D$19="NO",$D$12="SI",$D$13="SI",B178&gt;12),(PMT(0.06/12,$K$9,-$C$45)-PMT(0.045/12,$K$9,-$C$45)),IF(AND($D$8=Variables!$B$4,$D$12="SI",$D$19="NO",$D$13="SI",$D$15="NO",B178&gt;18),(PMT(0.06/12,$K$9,-$C$51)-PMT(0.045/12,$K$9,-$C$51)),IF(AND($D$8=Variables!$B$4,$D$12="SI",$D$19="NO",$D$13="SI",$D$15="SI",B178&gt;24),(PMT(0.06/12,$K$9,-$C$57)-PMT(0.045/12,$K$9,-$C$57)),0)))))</f>
        <v>111.43825839224587</v>
      </c>
      <c r="G178" s="14">
        <f>+IF(B178&gt;$K$9,"",IF($D$8=Variables!$B$6,0.21*IPMT('Sim Reg N° 800'!$D$18,'Sim Reg N° 800'!B178,'Sim Reg N° 800'!$K$9,-'Sim Reg N° 800'!$J$10),0))+F178*0.21</f>
        <v>23.402034262371632</v>
      </c>
      <c r="H178" s="14">
        <f t="shared" si="16"/>
        <v>742.86266444567423</v>
      </c>
      <c r="I178" s="14">
        <f t="shared" si="14"/>
        <v>95.999999999999986</v>
      </c>
      <c r="J178" s="14">
        <f t="shared" si="15"/>
        <v>838.86266444567423</v>
      </c>
      <c r="K178" s="26">
        <f t="shared" si="17"/>
        <v>251.65879933370226</v>
      </c>
      <c r="L178" s="21"/>
      <c r="M178" s="19"/>
      <c r="R178" s="20"/>
    </row>
    <row r="179" spans="1:18" hidden="1" x14ac:dyDescent="0.2">
      <c r="A179" s="7"/>
      <c r="B179" s="42">
        <v>146</v>
      </c>
      <c r="C179" s="14">
        <f t="shared" si="13"/>
        <v>89358.165138527402</v>
      </c>
      <c r="D179" s="14">
        <f>IF(B179&gt;$K$9,"",IF($D$8=Variables!$B$3,PPMT($D$18,B179,$K$9,-$J$10),IF($D$8=Variables!$B$6,PPMT($D$18,B179,$K$9,-$J$10),IF($D$8=Variables!$B$5,PPMT($D$18,B179-12,$K$9-12,-$C$45),IF(AND($D$8=Variables!$B$4,$D$15="si"),0,PPMT($D$18,B179-18,$K$9-18,-$J$10-SUM($L$34:$L$51))))))+IF(AND($D$8=Variables!$B$4,'Sim Reg N° 800'!$D$15="SI"),PPMT($D$18,B179-24,$K$9-24,-$J$10-SUM($M$34:$M$57))))</f>
        <v>271.90959155325453</v>
      </c>
      <c r="E179" s="14">
        <f>IF(B179&gt;$K$9,"",IF($D$8=Variables!$B$3,IPMT($D$18,B179,$K$9,-$J$10),IF($D$8=Variables!$B$6,IPMT($D$18,B179,$K$9,-$J$10),IF($D$8=Variables!$B$5,IPMT($D$18,B179-12,$K$9-12,-$C$45),IF(AND($D$8=Variables!$B$4,$D$15="si"),0,IPMT($D$18,B179-18,$K$9-18,-$J$10-SUM($L$34:$L$51))))))+IF(AND($D$8=Variables!$B$4,'Sim Reg N° 800'!$D$15="SI"),IPMT($D$18,B179-24,$K$9-24,-$J$10-SUM($M$34:$M$57))))</f>
        <v>336.11278023780238</v>
      </c>
      <c r="F179" s="14">
        <f>IF(B179&gt;$K$9,"",IF(AND($D$8=Variables!$B$3,$D$12="SI",$D$19="NO",$D$13="SI",B179&gt;=7),(PMT(0.06/12,$K$9,-$C$33)-PMT(0.045/12,$K$9,-$C$33)),IF(AND($D$8=Variables!$B$5,$D$19="NO",$D$12="SI",$D$13="SI",B179&gt;12),(PMT(0.06/12,$K$9,-$C$45)-PMT(0.045/12,$K$9,-$C$45)),IF(AND($D$8=Variables!$B$4,$D$12="SI",$D$19="NO",$D$13="SI",$D$15="NO",B179&gt;18),(PMT(0.06/12,$K$9,-$C$51)-PMT(0.045/12,$K$9,-$C$51)),IF(AND($D$8=Variables!$B$4,$D$12="SI",$D$19="NO",$D$13="SI",$D$15="SI",B179&gt;24),(PMT(0.06/12,$K$9,-$C$57)-PMT(0.045/12,$K$9,-$C$57)),0)))))</f>
        <v>111.43825839224587</v>
      </c>
      <c r="G179" s="14">
        <f>+IF(B179&gt;$K$9,"",IF($D$8=Variables!$B$6,0.21*IPMT('Sim Reg N° 800'!$D$18,'Sim Reg N° 800'!B179,'Sim Reg N° 800'!$K$9,-'Sim Reg N° 800'!$J$10),0))+F179*0.21</f>
        <v>23.402034262371632</v>
      </c>
      <c r="H179" s="14">
        <f t="shared" si="16"/>
        <v>742.86266444567445</v>
      </c>
      <c r="I179" s="14">
        <f t="shared" si="14"/>
        <v>0</v>
      </c>
      <c r="J179" s="14">
        <f t="shared" si="15"/>
        <v>742.86266444567445</v>
      </c>
      <c r="K179" s="26">
        <f t="shared" si="17"/>
        <v>222.85879933370234</v>
      </c>
      <c r="L179" s="21"/>
      <c r="M179" s="19"/>
      <c r="R179" s="20"/>
    </row>
    <row r="180" spans="1:18" hidden="1" x14ac:dyDescent="0.2">
      <c r="A180" s="7"/>
      <c r="B180" s="42">
        <v>147</v>
      </c>
      <c r="C180" s="14">
        <f t="shared" si="13"/>
        <v>89085.235886005816</v>
      </c>
      <c r="D180" s="14">
        <f>IF(B180&gt;$K$9,"",IF($D$8=Variables!$B$3,PPMT($D$18,B180,$K$9,-$J$10),IF($D$8=Variables!$B$6,PPMT($D$18,B180,$K$9,-$J$10),IF($D$8=Variables!$B$5,PPMT($D$18,B180-12,$K$9-12,-$C$45),IF(AND($D$8=Variables!$B$4,$D$15="si"),0,PPMT($D$18,B180-18,$K$9-18,-$J$10-SUM($L$34:$L$51))))))+IF(AND($D$8=Variables!$B$4,'Sim Reg N° 800'!$D$15="SI"),PPMT($D$18,B180-24,$K$9-24,-$J$10-SUM($M$34:$M$57))))</f>
        <v>272.9292525215792</v>
      </c>
      <c r="E180" s="14">
        <f>IF(B180&gt;$K$9,"",IF($D$8=Variables!$B$3,IPMT($D$18,B180,$K$9,-$J$10),IF($D$8=Variables!$B$6,IPMT($D$18,B180,$K$9,-$J$10),IF($D$8=Variables!$B$5,IPMT($D$18,B180-12,$K$9-12,-$C$45),IF(AND($D$8=Variables!$B$4,$D$15="si"),0,IPMT($D$18,B180-18,$K$9-18,-$J$10-SUM($L$34:$L$51))))))+IF(AND($D$8=Variables!$B$4,'Sim Reg N° 800'!$D$15="SI"),IPMT($D$18,B180-24,$K$9-24,-$J$10-SUM($M$34:$M$57))))</f>
        <v>335.09311926947765</v>
      </c>
      <c r="F180" s="14">
        <f>IF(B180&gt;$K$9,"",IF(AND($D$8=Variables!$B$3,$D$12="SI",$D$19="NO",$D$13="SI",B180&gt;=7),(PMT(0.06/12,$K$9,-$C$33)-PMT(0.045/12,$K$9,-$C$33)),IF(AND($D$8=Variables!$B$5,$D$19="NO",$D$12="SI",$D$13="SI",B180&gt;12),(PMT(0.06/12,$K$9,-$C$45)-PMT(0.045/12,$K$9,-$C$45)),IF(AND($D$8=Variables!$B$4,$D$12="SI",$D$19="NO",$D$13="SI",$D$15="NO",B180&gt;18),(PMT(0.06/12,$K$9,-$C$51)-PMT(0.045/12,$K$9,-$C$51)),IF(AND($D$8=Variables!$B$4,$D$12="SI",$D$19="NO",$D$13="SI",$D$15="SI",B180&gt;24),(PMT(0.06/12,$K$9,-$C$57)-PMT(0.045/12,$K$9,-$C$57)),0)))))</f>
        <v>111.43825839224587</v>
      </c>
      <c r="G180" s="14">
        <f>+IF(B180&gt;$K$9,"",IF($D$8=Variables!$B$6,0.21*IPMT('Sim Reg N° 800'!$D$18,'Sim Reg N° 800'!B180,'Sim Reg N° 800'!$K$9,-'Sim Reg N° 800'!$J$10),0))+F180*0.21</f>
        <v>23.402034262371632</v>
      </c>
      <c r="H180" s="14">
        <f t="shared" si="16"/>
        <v>742.86266444567434</v>
      </c>
      <c r="I180" s="14">
        <f t="shared" si="14"/>
        <v>0</v>
      </c>
      <c r="J180" s="14">
        <f t="shared" si="15"/>
        <v>742.86266444567434</v>
      </c>
      <c r="K180" s="26">
        <f t="shared" si="17"/>
        <v>222.85879933370231</v>
      </c>
      <c r="L180" s="21"/>
      <c r="M180" s="19"/>
      <c r="R180" s="20"/>
    </row>
    <row r="181" spans="1:18" hidden="1" x14ac:dyDescent="0.2">
      <c r="A181" s="7"/>
      <c r="B181" s="42">
        <v>148</v>
      </c>
      <c r="C181" s="14">
        <f t="shared" si="13"/>
        <v>88811.283148787275</v>
      </c>
      <c r="D181" s="14">
        <f>IF(B181&gt;$K$9,"",IF($D$8=Variables!$B$3,PPMT($D$18,B181,$K$9,-$J$10),IF($D$8=Variables!$B$6,PPMT($D$18,B181,$K$9,-$J$10),IF($D$8=Variables!$B$5,PPMT($D$18,B181-12,$K$9-12,-$C$45),IF(AND($D$8=Variables!$B$4,$D$15="si"),0,PPMT($D$18,B181-18,$K$9-18,-$J$10-SUM($L$34:$L$51))))))+IF(AND($D$8=Variables!$B$4,'Sim Reg N° 800'!$D$15="SI"),PPMT($D$18,B181-24,$K$9-24,-$J$10-SUM($M$34:$M$57))))</f>
        <v>273.95273721853511</v>
      </c>
      <c r="E181" s="14">
        <f>IF(B181&gt;$K$9,"",IF($D$8=Variables!$B$3,IPMT($D$18,B181,$K$9,-$J$10),IF($D$8=Variables!$B$6,IPMT($D$18,B181,$K$9,-$J$10),IF($D$8=Variables!$B$5,IPMT($D$18,B181-12,$K$9-12,-$C$45),IF(AND($D$8=Variables!$B$4,$D$15="si"),0,IPMT($D$18,B181-18,$K$9-18,-$J$10-SUM($L$34:$L$51))))))+IF(AND($D$8=Variables!$B$4,'Sim Reg N° 800'!$D$15="SI"),IPMT($D$18,B181-24,$K$9-24,-$J$10-SUM($M$34:$M$57))))</f>
        <v>334.06963457252181</v>
      </c>
      <c r="F181" s="14">
        <f>IF(B181&gt;$K$9,"",IF(AND($D$8=Variables!$B$3,$D$12="SI",$D$19="NO",$D$13="SI",B181&gt;=7),(PMT(0.06/12,$K$9,-$C$33)-PMT(0.045/12,$K$9,-$C$33)),IF(AND($D$8=Variables!$B$5,$D$19="NO",$D$12="SI",$D$13="SI",B181&gt;12),(PMT(0.06/12,$K$9,-$C$45)-PMT(0.045/12,$K$9,-$C$45)),IF(AND($D$8=Variables!$B$4,$D$12="SI",$D$19="NO",$D$13="SI",$D$15="NO",B181&gt;18),(PMT(0.06/12,$K$9,-$C$51)-PMT(0.045/12,$K$9,-$C$51)),IF(AND($D$8=Variables!$B$4,$D$12="SI",$D$19="NO",$D$13="SI",$D$15="SI",B181&gt;24),(PMT(0.06/12,$K$9,-$C$57)-PMT(0.045/12,$K$9,-$C$57)),0)))))</f>
        <v>111.43825839224587</v>
      </c>
      <c r="G181" s="14">
        <f>+IF(B181&gt;$K$9,"",IF($D$8=Variables!$B$6,0.21*IPMT('Sim Reg N° 800'!$D$18,'Sim Reg N° 800'!B181,'Sim Reg N° 800'!$K$9,-'Sim Reg N° 800'!$J$10),0))+F181*0.21</f>
        <v>23.402034262371632</v>
      </c>
      <c r="H181" s="14">
        <f t="shared" si="16"/>
        <v>742.86266444567445</v>
      </c>
      <c r="I181" s="14">
        <f t="shared" si="14"/>
        <v>0</v>
      </c>
      <c r="J181" s="14">
        <f t="shared" si="15"/>
        <v>742.86266444567445</v>
      </c>
      <c r="K181" s="26">
        <f t="shared" si="17"/>
        <v>222.85879933370234</v>
      </c>
      <c r="L181" s="21"/>
      <c r="M181" s="19"/>
      <c r="R181" s="20"/>
    </row>
    <row r="182" spans="1:18" hidden="1" x14ac:dyDescent="0.2">
      <c r="A182" s="7"/>
      <c r="B182" s="42">
        <v>149</v>
      </c>
      <c r="C182" s="14">
        <f t="shared" si="13"/>
        <v>88536.303088804169</v>
      </c>
      <c r="D182" s="14">
        <f>IF(B182&gt;$K$9,"",IF($D$8=Variables!$B$3,PPMT($D$18,B182,$K$9,-$J$10),IF($D$8=Variables!$B$6,PPMT($D$18,B182,$K$9,-$J$10),IF($D$8=Variables!$B$5,PPMT($D$18,B182-12,$K$9-12,-$C$45),IF(AND($D$8=Variables!$B$4,$D$15="si"),0,PPMT($D$18,B182-18,$K$9-18,-$J$10-SUM($L$34:$L$51))))))+IF(AND($D$8=Variables!$B$4,'Sim Reg N° 800'!$D$15="SI"),PPMT($D$18,B182-24,$K$9-24,-$J$10-SUM($M$34:$M$57))))</f>
        <v>274.98005998310464</v>
      </c>
      <c r="E182" s="14">
        <f>IF(B182&gt;$K$9,"",IF($D$8=Variables!$B$3,IPMT($D$18,B182,$K$9,-$J$10),IF($D$8=Variables!$B$6,IPMT($D$18,B182,$K$9,-$J$10),IF($D$8=Variables!$B$5,IPMT($D$18,B182-12,$K$9-12,-$C$45),IF(AND($D$8=Variables!$B$4,$D$15="si"),0,IPMT($D$18,B182-18,$K$9-18,-$J$10-SUM($L$34:$L$51))))))+IF(AND($D$8=Variables!$B$4,'Sim Reg N° 800'!$D$15="SI"),IPMT($D$18,B182-24,$K$9-24,-$J$10-SUM($M$34:$M$57))))</f>
        <v>333.04231180795227</v>
      </c>
      <c r="F182" s="14">
        <f>IF(B182&gt;$K$9,"",IF(AND($D$8=Variables!$B$3,$D$12="SI",$D$19="NO",$D$13="SI",B182&gt;=7),(PMT(0.06/12,$K$9,-$C$33)-PMT(0.045/12,$K$9,-$C$33)),IF(AND($D$8=Variables!$B$5,$D$19="NO",$D$12="SI",$D$13="SI",B182&gt;12),(PMT(0.06/12,$K$9,-$C$45)-PMT(0.045/12,$K$9,-$C$45)),IF(AND($D$8=Variables!$B$4,$D$12="SI",$D$19="NO",$D$13="SI",$D$15="NO",B182&gt;18),(PMT(0.06/12,$K$9,-$C$51)-PMT(0.045/12,$K$9,-$C$51)),IF(AND($D$8=Variables!$B$4,$D$12="SI",$D$19="NO",$D$13="SI",$D$15="SI",B182&gt;24),(PMT(0.06/12,$K$9,-$C$57)-PMT(0.045/12,$K$9,-$C$57)),0)))))</f>
        <v>111.43825839224587</v>
      </c>
      <c r="G182" s="14">
        <f>+IF(B182&gt;$K$9,"",IF($D$8=Variables!$B$6,0.21*IPMT('Sim Reg N° 800'!$D$18,'Sim Reg N° 800'!B182,'Sim Reg N° 800'!$K$9,-'Sim Reg N° 800'!$J$10),0))+F182*0.21</f>
        <v>23.402034262371632</v>
      </c>
      <c r="H182" s="14">
        <f t="shared" si="16"/>
        <v>742.86266444567445</v>
      </c>
      <c r="I182" s="14">
        <f t="shared" si="14"/>
        <v>0</v>
      </c>
      <c r="J182" s="14">
        <f t="shared" si="15"/>
        <v>742.86266444567445</v>
      </c>
      <c r="K182" s="26">
        <f t="shared" si="17"/>
        <v>222.85879933370234</v>
      </c>
      <c r="L182" s="21"/>
      <c r="M182" s="19"/>
      <c r="R182" s="20"/>
    </row>
    <row r="183" spans="1:18" hidden="1" x14ac:dyDescent="0.2">
      <c r="A183" s="7"/>
      <c r="B183" s="42">
        <v>150</v>
      </c>
      <c r="C183" s="14">
        <f t="shared" si="13"/>
        <v>88260.291853596122</v>
      </c>
      <c r="D183" s="14">
        <f>IF(B183&gt;$K$9,"",IF($D$8=Variables!$B$3,PPMT($D$18,B183,$K$9,-$J$10),IF($D$8=Variables!$B$6,PPMT($D$18,B183,$K$9,-$J$10),IF($D$8=Variables!$B$5,PPMT($D$18,B183-12,$K$9-12,-$C$45),IF(AND($D$8=Variables!$B$4,$D$15="si"),0,PPMT($D$18,B183-18,$K$9-18,-$J$10-SUM($L$34:$L$51))))))+IF(AND($D$8=Variables!$B$4,'Sim Reg N° 800'!$D$15="SI"),PPMT($D$18,B183-24,$K$9-24,-$J$10-SUM($M$34:$M$57))))</f>
        <v>276.01123520804128</v>
      </c>
      <c r="E183" s="14">
        <f>IF(B183&gt;$K$9,"",IF($D$8=Variables!$B$3,IPMT($D$18,B183,$K$9,-$J$10),IF($D$8=Variables!$B$6,IPMT($D$18,B183,$K$9,-$J$10),IF($D$8=Variables!$B$5,IPMT($D$18,B183-12,$K$9-12,-$C$45),IF(AND($D$8=Variables!$B$4,$D$15="si"),0,IPMT($D$18,B183-18,$K$9-18,-$J$10-SUM($L$34:$L$51))))))+IF(AND($D$8=Variables!$B$4,'Sim Reg N° 800'!$D$15="SI"),IPMT($D$18,B183-24,$K$9-24,-$J$10-SUM($M$34:$M$57))))</f>
        <v>332.01113658301557</v>
      </c>
      <c r="F183" s="14">
        <f>IF(B183&gt;$K$9,"",IF(AND($D$8=Variables!$B$3,$D$12="SI",$D$19="NO",$D$13="SI",B183&gt;=7),(PMT(0.06/12,$K$9,-$C$33)-PMT(0.045/12,$K$9,-$C$33)),IF(AND($D$8=Variables!$B$5,$D$19="NO",$D$12="SI",$D$13="SI",B183&gt;12),(PMT(0.06/12,$K$9,-$C$45)-PMT(0.045/12,$K$9,-$C$45)),IF(AND($D$8=Variables!$B$4,$D$12="SI",$D$19="NO",$D$13="SI",$D$15="NO",B183&gt;18),(PMT(0.06/12,$K$9,-$C$51)-PMT(0.045/12,$K$9,-$C$51)),IF(AND($D$8=Variables!$B$4,$D$12="SI",$D$19="NO",$D$13="SI",$D$15="SI",B183&gt;24),(PMT(0.06/12,$K$9,-$C$57)-PMT(0.045/12,$K$9,-$C$57)),0)))))</f>
        <v>111.43825839224587</v>
      </c>
      <c r="G183" s="14">
        <f>+IF(B183&gt;$K$9,"",IF($D$8=Variables!$B$6,0.21*IPMT('Sim Reg N° 800'!$D$18,'Sim Reg N° 800'!B183,'Sim Reg N° 800'!$K$9,-'Sim Reg N° 800'!$J$10),0))+F183*0.21</f>
        <v>23.402034262371632</v>
      </c>
      <c r="H183" s="14">
        <f t="shared" si="16"/>
        <v>742.86266444567434</v>
      </c>
      <c r="I183" s="14">
        <f t="shared" si="14"/>
        <v>0</v>
      </c>
      <c r="J183" s="14">
        <f t="shared" si="15"/>
        <v>742.86266444567434</v>
      </c>
      <c r="K183" s="26">
        <f t="shared" si="17"/>
        <v>222.85879933370231</v>
      </c>
      <c r="L183" s="21"/>
      <c r="M183" s="19"/>
      <c r="R183" s="20"/>
    </row>
    <row r="184" spans="1:18" hidden="1" x14ac:dyDescent="0.2">
      <c r="A184" s="7"/>
      <c r="B184" s="42">
        <v>151</v>
      </c>
      <c r="C184" s="14">
        <f t="shared" si="13"/>
        <v>87983.245576256057</v>
      </c>
      <c r="D184" s="14">
        <f>IF(B184&gt;$K$9,"",IF($D$8=Variables!$B$3,PPMT($D$18,B184,$K$9,-$J$10),IF($D$8=Variables!$B$6,PPMT($D$18,B184,$K$9,-$J$10),IF($D$8=Variables!$B$5,PPMT($D$18,B184-12,$K$9-12,-$C$45),IF(AND($D$8=Variables!$B$4,$D$15="si"),0,PPMT($D$18,B184-18,$K$9-18,-$J$10-SUM($L$34:$L$51))))))+IF(AND($D$8=Variables!$B$4,'Sim Reg N° 800'!$D$15="SI"),PPMT($D$18,B184-24,$K$9-24,-$J$10-SUM($M$34:$M$57))))</f>
        <v>277.04627734007147</v>
      </c>
      <c r="E184" s="14">
        <f>IF(B184&gt;$K$9,"",IF($D$8=Variables!$B$3,IPMT($D$18,B184,$K$9,-$J$10),IF($D$8=Variables!$B$6,IPMT($D$18,B184,$K$9,-$J$10),IF($D$8=Variables!$B$5,IPMT($D$18,B184-12,$K$9-12,-$C$45),IF(AND($D$8=Variables!$B$4,$D$15="si"),0,IPMT($D$18,B184-18,$K$9-18,-$J$10-SUM($L$34:$L$51))))))+IF(AND($D$8=Variables!$B$4,'Sim Reg N° 800'!$D$15="SI"),IPMT($D$18,B184-24,$K$9-24,-$J$10-SUM($M$34:$M$57))))</f>
        <v>330.97609445098539</v>
      </c>
      <c r="F184" s="14">
        <f>IF(B184&gt;$K$9,"",IF(AND($D$8=Variables!$B$3,$D$12="SI",$D$19="NO",$D$13="SI",B184&gt;=7),(PMT(0.06/12,$K$9,-$C$33)-PMT(0.045/12,$K$9,-$C$33)),IF(AND($D$8=Variables!$B$5,$D$19="NO",$D$12="SI",$D$13="SI",B184&gt;12),(PMT(0.06/12,$K$9,-$C$45)-PMT(0.045/12,$K$9,-$C$45)),IF(AND($D$8=Variables!$B$4,$D$12="SI",$D$19="NO",$D$13="SI",$D$15="NO",B184&gt;18),(PMT(0.06/12,$K$9,-$C$51)-PMT(0.045/12,$K$9,-$C$51)),IF(AND($D$8=Variables!$B$4,$D$12="SI",$D$19="NO",$D$13="SI",$D$15="SI",B184&gt;24),(PMT(0.06/12,$K$9,-$C$57)-PMT(0.045/12,$K$9,-$C$57)),0)))))</f>
        <v>111.43825839224587</v>
      </c>
      <c r="G184" s="14">
        <f>+IF(B184&gt;$K$9,"",IF($D$8=Variables!$B$6,0.21*IPMT('Sim Reg N° 800'!$D$18,'Sim Reg N° 800'!B184,'Sim Reg N° 800'!$K$9,-'Sim Reg N° 800'!$J$10),0))+F184*0.21</f>
        <v>23.402034262371632</v>
      </c>
      <c r="H184" s="14">
        <f t="shared" si="16"/>
        <v>742.86266444567434</v>
      </c>
      <c r="I184" s="14">
        <f t="shared" si="14"/>
        <v>0</v>
      </c>
      <c r="J184" s="14">
        <f t="shared" si="15"/>
        <v>742.86266444567434</v>
      </c>
      <c r="K184" s="26">
        <f t="shared" si="17"/>
        <v>222.85879933370231</v>
      </c>
      <c r="L184" s="21"/>
      <c r="M184" s="19"/>
      <c r="R184" s="20"/>
    </row>
    <row r="185" spans="1:18" hidden="1" x14ac:dyDescent="0.2">
      <c r="A185" s="7"/>
      <c r="B185" s="42">
        <v>152</v>
      </c>
      <c r="C185" s="14">
        <f t="shared" si="13"/>
        <v>87705.160375375955</v>
      </c>
      <c r="D185" s="14">
        <f>IF(B185&gt;$K$9,"",IF($D$8=Variables!$B$3,PPMT($D$18,B185,$K$9,-$J$10),IF($D$8=Variables!$B$6,PPMT($D$18,B185,$K$9,-$J$10),IF($D$8=Variables!$B$5,PPMT($D$18,B185-12,$K$9-12,-$C$45),IF(AND($D$8=Variables!$B$4,$D$15="si"),0,PPMT($D$18,B185-18,$K$9-18,-$J$10-SUM($L$34:$L$51))))))+IF(AND($D$8=Variables!$B$4,'Sim Reg N° 800'!$D$15="SI"),PPMT($D$18,B185-24,$K$9-24,-$J$10-SUM($M$34:$M$57))))</f>
        <v>278.08520088009664</v>
      </c>
      <c r="E185" s="14">
        <f>IF(B185&gt;$K$9,"",IF($D$8=Variables!$B$3,IPMT($D$18,B185,$K$9,-$J$10),IF($D$8=Variables!$B$6,IPMT($D$18,B185,$K$9,-$J$10),IF($D$8=Variables!$B$5,IPMT($D$18,B185-12,$K$9-12,-$C$45),IF(AND($D$8=Variables!$B$4,$D$15="si"),0,IPMT($D$18,B185-18,$K$9-18,-$J$10-SUM($L$34:$L$51))))))+IF(AND($D$8=Variables!$B$4,'Sim Reg N° 800'!$D$15="SI"),IPMT($D$18,B185-24,$K$9-24,-$J$10-SUM($M$34:$M$57))))</f>
        <v>329.93717091096022</v>
      </c>
      <c r="F185" s="14">
        <f>IF(B185&gt;$K$9,"",IF(AND($D$8=Variables!$B$3,$D$12="SI",$D$19="NO",$D$13="SI",B185&gt;=7),(PMT(0.06/12,$K$9,-$C$33)-PMT(0.045/12,$K$9,-$C$33)),IF(AND($D$8=Variables!$B$5,$D$19="NO",$D$12="SI",$D$13="SI",B185&gt;12),(PMT(0.06/12,$K$9,-$C$45)-PMT(0.045/12,$K$9,-$C$45)),IF(AND($D$8=Variables!$B$4,$D$12="SI",$D$19="NO",$D$13="SI",$D$15="NO",B185&gt;18),(PMT(0.06/12,$K$9,-$C$51)-PMT(0.045/12,$K$9,-$C$51)),IF(AND($D$8=Variables!$B$4,$D$12="SI",$D$19="NO",$D$13="SI",$D$15="SI",B185&gt;24),(PMT(0.06/12,$K$9,-$C$57)-PMT(0.045/12,$K$9,-$C$57)),0)))))</f>
        <v>111.43825839224587</v>
      </c>
      <c r="G185" s="14">
        <f>+IF(B185&gt;$K$9,"",IF($D$8=Variables!$B$6,0.21*IPMT('Sim Reg N° 800'!$D$18,'Sim Reg N° 800'!B185,'Sim Reg N° 800'!$K$9,-'Sim Reg N° 800'!$J$10),0))+F185*0.21</f>
        <v>23.402034262371632</v>
      </c>
      <c r="H185" s="14">
        <f t="shared" si="16"/>
        <v>742.86266444567434</v>
      </c>
      <c r="I185" s="14">
        <f t="shared" si="14"/>
        <v>0</v>
      </c>
      <c r="J185" s="14">
        <f t="shared" si="15"/>
        <v>742.86266444567434</v>
      </c>
      <c r="K185" s="26">
        <f t="shared" si="17"/>
        <v>222.85879933370231</v>
      </c>
      <c r="L185" s="21"/>
      <c r="M185" s="19"/>
      <c r="R185" s="20"/>
    </row>
    <row r="186" spans="1:18" hidden="1" x14ac:dyDescent="0.2">
      <c r="A186" s="7"/>
      <c r="B186" s="42">
        <v>153</v>
      </c>
      <c r="C186" s="14">
        <f t="shared" si="13"/>
        <v>87426.032354992552</v>
      </c>
      <c r="D186" s="14">
        <f>IF(B186&gt;$K$9,"",IF($D$8=Variables!$B$3,PPMT($D$18,B186,$K$9,-$J$10),IF($D$8=Variables!$B$6,PPMT($D$18,B186,$K$9,-$J$10),IF($D$8=Variables!$B$5,PPMT($D$18,B186-12,$K$9-12,-$C$45),IF(AND($D$8=Variables!$B$4,$D$15="si"),0,PPMT($D$18,B186-18,$K$9-18,-$J$10-SUM($L$34:$L$51))))))+IF(AND($D$8=Variables!$B$4,'Sim Reg N° 800'!$D$15="SI"),PPMT($D$18,B186-24,$K$9-24,-$J$10-SUM($M$34:$M$57))))</f>
        <v>279.12802038339703</v>
      </c>
      <c r="E186" s="14">
        <f>IF(B186&gt;$K$9,"",IF($D$8=Variables!$B$3,IPMT($D$18,B186,$K$9,-$J$10),IF($D$8=Variables!$B$6,IPMT($D$18,B186,$K$9,-$J$10),IF($D$8=Variables!$B$5,IPMT($D$18,B186-12,$K$9-12,-$C$45),IF(AND($D$8=Variables!$B$4,$D$15="si"),0,IPMT($D$18,B186-18,$K$9-18,-$J$10-SUM($L$34:$L$51))))))+IF(AND($D$8=Variables!$B$4,'Sim Reg N° 800'!$D$15="SI"),IPMT($D$18,B186-24,$K$9-24,-$J$10-SUM($M$34:$M$57))))</f>
        <v>328.89435140765983</v>
      </c>
      <c r="F186" s="14">
        <f>IF(B186&gt;$K$9,"",IF(AND($D$8=Variables!$B$3,$D$12="SI",$D$19="NO",$D$13="SI",B186&gt;=7),(PMT(0.06/12,$K$9,-$C$33)-PMT(0.045/12,$K$9,-$C$33)),IF(AND($D$8=Variables!$B$5,$D$19="NO",$D$12="SI",$D$13="SI",B186&gt;12),(PMT(0.06/12,$K$9,-$C$45)-PMT(0.045/12,$K$9,-$C$45)),IF(AND($D$8=Variables!$B$4,$D$12="SI",$D$19="NO",$D$13="SI",$D$15="NO",B186&gt;18),(PMT(0.06/12,$K$9,-$C$51)-PMT(0.045/12,$K$9,-$C$51)),IF(AND($D$8=Variables!$B$4,$D$12="SI",$D$19="NO",$D$13="SI",$D$15="SI",B186&gt;24),(PMT(0.06/12,$K$9,-$C$57)-PMT(0.045/12,$K$9,-$C$57)),0)))))</f>
        <v>111.43825839224587</v>
      </c>
      <c r="G186" s="14">
        <f>+IF(B186&gt;$K$9,"",IF($D$8=Variables!$B$6,0.21*IPMT('Sim Reg N° 800'!$D$18,'Sim Reg N° 800'!B186,'Sim Reg N° 800'!$K$9,-'Sim Reg N° 800'!$J$10),0))+F186*0.21</f>
        <v>23.402034262371632</v>
      </c>
      <c r="H186" s="14">
        <f t="shared" si="16"/>
        <v>742.86266444567434</v>
      </c>
      <c r="I186" s="14">
        <f t="shared" si="14"/>
        <v>0</v>
      </c>
      <c r="J186" s="14">
        <f t="shared" si="15"/>
        <v>742.86266444567434</v>
      </c>
      <c r="K186" s="26">
        <f t="shared" si="17"/>
        <v>222.85879933370231</v>
      </c>
      <c r="L186" s="21"/>
      <c r="M186" s="19"/>
      <c r="R186" s="20"/>
    </row>
    <row r="187" spans="1:18" hidden="1" x14ac:dyDescent="0.2">
      <c r="A187" s="7"/>
      <c r="B187" s="42">
        <v>154</v>
      </c>
      <c r="C187" s="14">
        <f t="shared" si="13"/>
        <v>87145.857604532721</v>
      </c>
      <c r="D187" s="14">
        <f>IF(B187&gt;$K$9,"",IF($D$8=Variables!$B$3,PPMT($D$18,B187,$K$9,-$J$10),IF($D$8=Variables!$B$6,PPMT($D$18,B187,$K$9,-$J$10),IF($D$8=Variables!$B$5,PPMT($D$18,B187-12,$K$9-12,-$C$45),IF(AND($D$8=Variables!$B$4,$D$15="si"),0,PPMT($D$18,B187-18,$K$9-18,-$J$10-SUM($L$34:$L$51))))))+IF(AND($D$8=Variables!$B$4,'Sim Reg N° 800'!$D$15="SI"),PPMT($D$18,B187-24,$K$9-24,-$J$10-SUM($M$34:$M$57))))</f>
        <v>280.1747504598348</v>
      </c>
      <c r="E187" s="14">
        <f>IF(B187&gt;$K$9,"",IF($D$8=Variables!$B$3,IPMT($D$18,B187,$K$9,-$J$10),IF($D$8=Variables!$B$6,IPMT($D$18,B187,$K$9,-$J$10),IF($D$8=Variables!$B$5,IPMT($D$18,B187-12,$K$9-12,-$C$45),IF(AND($D$8=Variables!$B$4,$D$15="si"),0,IPMT($D$18,B187-18,$K$9-18,-$J$10-SUM($L$34:$L$51))))))+IF(AND($D$8=Variables!$B$4,'Sim Reg N° 800'!$D$15="SI"),IPMT($D$18,B187-24,$K$9-24,-$J$10-SUM($M$34:$M$57))))</f>
        <v>327.84762133122206</v>
      </c>
      <c r="F187" s="14">
        <f>IF(B187&gt;$K$9,"",IF(AND($D$8=Variables!$B$3,$D$12="SI",$D$19="NO",$D$13="SI",B187&gt;=7),(PMT(0.06/12,$K$9,-$C$33)-PMT(0.045/12,$K$9,-$C$33)),IF(AND($D$8=Variables!$B$5,$D$19="NO",$D$12="SI",$D$13="SI",B187&gt;12),(PMT(0.06/12,$K$9,-$C$45)-PMT(0.045/12,$K$9,-$C$45)),IF(AND($D$8=Variables!$B$4,$D$12="SI",$D$19="NO",$D$13="SI",$D$15="NO",B187&gt;18),(PMT(0.06/12,$K$9,-$C$51)-PMT(0.045/12,$K$9,-$C$51)),IF(AND($D$8=Variables!$B$4,$D$12="SI",$D$19="NO",$D$13="SI",$D$15="SI",B187&gt;24),(PMT(0.06/12,$K$9,-$C$57)-PMT(0.045/12,$K$9,-$C$57)),0)))))</f>
        <v>111.43825839224587</v>
      </c>
      <c r="G187" s="14">
        <f>+IF(B187&gt;$K$9,"",IF($D$8=Variables!$B$6,0.21*IPMT('Sim Reg N° 800'!$D$18,'Sim Reg N° 800'!B187,'Sim Reg N° 800'!$K$9,-'Sim Reg N° 800'!$J$10),0))+F187*0.21</f>
        <v>23.402034262371632</v>
      </c>
      <c r="H187" s="14">
        <f t="shared" si="16"/>
        <v>742.86266444567434</v>
      </c>
      <c r="I187" s="14">
        <f t="shared" si="14"/>
        <v>0</v>
      </c>
      <c r="J187" s="14">
        <f t="shared" si="15"/>
        <v>742.86266444567434</v>
      </c>
      <c r="K187" s="26">
        <f t="shared" si="17"/>
        <v>222.85879933370231</v>
      </c>
      <c r="L187" s="21"/>
      <c r="M187" s="19"/>
      <c r="R187" s="20"/>
    </row>
    <row r="188" spans="1:18" hidden="1" x14ac:dyDescent="0.2">
      <c r="A188" s="7"/>
      <c r="B188" s="42">
        <v>155</v>
      </c>
      <c r="C188" s="14">
        <f t="shared" si="13"/>
        <v>86864.632198758656</v>
      </c>
      <c r="D188" s="14">
        <f>IF(B188&gt;$K$9,"",IF($D$8=Variables!$B$3,PPMT($D$18,B188,$K$9,-$J$10),IF($D$8=Variables!$B$6,PPMT($D$18,B188,$K$9,-$J$10),IF($D$8=Variables!$B$5,PPMT($D$18,B188-12,$K$9-12,-$C$45),IF(AND($D$8=Variables!$B$4,$D$15="si"),0,PPMT($D$18,B188-18,$K$9-18,-$J$10-SUM($L$34:$L$51))))))+IF(AND($D$8=Variables!$B$4,'Sim Reg N° 800'!$D$15="SI"),PPMT($D$18,B188-24,$K$9-24,-$J$10-SUM($M$34:$M$57))))</f>
        <v>281.22540577405914</v>
      </c>
      <c r="E188" s="14">
        <f>IF(B188&gt;$K$9,"",IF($D$8=Variables!$B$3,IPMT($D$18,B188,$K$9,-$J$10),IF($D$8=Variables!$B$6,IPMT($D$18,B188,$K$9,-$J$10),IF($D$8=Variables!$B$5,IPMT($D$18,B188-12,$K$9-12,-$C$45),IF(AND($D$8=Variables!$B$4,$D$15="si"),0,IPMT($D$18,B188-18,$K$9-18,-$J$10-SUM($L$34:$L$51))))))+IF(AND($D$8=Variables!$B$4,'Sim Reg N° 800'!$D$15="SI"),IPMT($D$18,B188-24,$K$9-24,-$J$10-SUM($M$34:$M$57))))</f>
        <v>326.79696601699771</v>
      </c>
      <c r="F188" s="14">
        <f>IF(B188&gt;$K$9,"",IF(AND($D$8=Variables!$B$3,$D$12="SI",$D$19="NO",$D$13="SI",B188&gt;=7),(PMT(0.06/12,$K$9,-$C$33)-PMT(0.045/12,$K$9,-$C$33)),IF(AND($D$8=Variables!$B$5,$D$19="NO",$D$12="SI",$D$13="SI",B188&gt;12),(PMT(0.06/12,$K$9,-$C$45)-PMT(0.045/12,$K$9,-$C$45)),IF(AND($D$8=Variables!$B$4,$D$12="SI",$D$19="NO",$D$13="SI",$D$15="NO",B188&gt;18),(PMT(0.06/12,$K$9,-$C$51)-PMT(0.045/12,$K$9,-$C$51)),IF(AND($D$8=Variables!$B$4,$D$12="SI",$D$19="NO",$D$13="SI",$D$15="SI",B188&gt;24),(PMT(0.06/12,$K$9,-$C$57)-PMT(0.045/12,$K$9,-$C$57)),0)))))</f>
        <v>111.43825839224587</v>
      </c>
      <c r="G188" s="14">
        <f>+IF(B188&gt;$K$9,"",IF($D$8=Variables!$B$6,0.21*IPMT('Sim Reg N° 800'!$D$18,'Sim Reg N° 800'!B188,'Sim Reg N° 800'!$K$9,-'Sim Reg N° 800'!$J$10),0))+F188*0.21</f>
        <v>23.402034262371632</v>
      </c>
      <c r="H188" s="14">
        <f t="shared" si="16"/>
        <v>742.86266444567434</v>
      </c>
      <c r="I188" s="14">
        <f t="shared" si="14"/>
        <v>0</v>
      </c>
      <c r="J188" s="14">
        <f t="shared" si="15"/>
        <v>742.86266444567434</v>
      </c>
      <c r="K188" s="26">
        <f t="shared" si="17"/>
        <v>222.85879933370231</v>
      </c>
      <c r="L188" s="21"/>
      <c r="M188" s="19"/>
      <c r="R188" s="20"/>
    </row>
    <row r="189" spans="1:18" hidden="1" x14ac:dyDescent="0.2">
      <c r="A189" s="7"/>
      <c r="B189" s="42">
        <v>156</v>
      </c>
      <c r="C189" s="14">
        <f t="shared" si="13"/>
        <v>86582.352197712942</v>
      </c>
      <c r="D189" s="14">
        <f>IF(B189&gt;$K$9,"",IF($D$8=Variables!$B$3,PPMT($D$18,B189,$K$9,-$J$10),IF($D$8=Variables!$B$6,PPMT($D$18,B189,$K$9,-$J$10),IF($D$8=Variables!$B$5,PPMT($D$18,B189-12,$K$9-12,-$C$45),IF(AND($D$8=Variables!$B$4,$D$15="si"),0,PPMT($D$18,B189-18,$K$9-18,-$J$10-SUM($L$34:$L$51))))))+IF(AND($D$8=Variables!$B$4,'Sim Reg N° 800'!$D$15="SI"),PPMT($D$18,B189-24,$K$9-24,-$J$10-SUM($M$34:$M$57))))</f>
        <v>282.28000104571186</v>
      </c>
      <c r="E189" s="14">
        <f>IF(B189&gt;$K$9,"",IF($D$8=Variables!$B$3,IPMT($D$18,B189,$K$9,-$J$10),IF($D$8=Variables!$B$6,IPMT($D$18,B189,$K$9,-$J$10),IF($D$8=Variables!$B$5,IPMT($D$18,B189-12,$K$9-12,-$C$45),IF(AND($D$8=Variables!$B$4,$D$15="si"),0,IPMT($D$18,B189-18,$K$9-18,-$J$10-SUM($L$34:$L$51))))))+IF(AND($D$8=Variables!$B$4,'Sim Reg N° 800'!$D$15="SI"),IPMT($D$18,B189-24,$K$9-24,-$J$10-SUM($M$34:$M$57))))</f>
        <v>325.74237074534494</v>
      </c>
      <c r="F189" s="14">
        <f>IF(B189&gt;$K$9,"",IF(AND($D$8=Variables!$B$3,$D$12="SI",$D$19="NO",$D$13="SI",B189&gt;=7),(PMT(0.06/12,$K$9,-$C$33)-PMT(0.045/12,$K$9,-$C$33)),IF(AND($D$8=Variables!$B$5,$D$19="NO",$D$12="SI",$D$13="SI",B189&gt;12),(PMT(0.06/12,$K$9,-$C$45)-PMT(0.045/12,$K$9,-$C$45)),IF(AND($D$8=Variables!$B$4,$D$12="SI",$D$19="NO",$D$13="SI",$D$15="NO",B189&gt;18),(PMT(0.06/12,$K$9,-$C$51)-PMT(0.045/12,$K$9,-$C$51)),IF(AND($D$8=Variables!$B$4,$D$12="SI",$D$19="NO",$D$13="SI",$D$15="SI",B189&gt;24),(PMT(0.06/12,$K$9,-$C$57)-PMT(0.045/12,$K$9,-$C$57)),0)))))</f>
        <v>111.43825839224587</v>
      </c>
      <c r="G189" s="14">
        <f>+IF(B189&gt;$K$9,"",IF($D$8=Variables!$B$6,0.21*IPMT('Sim Reg N° 800'!$D$18,'Sim Reg N° 800'!B189,'Sim Reg N° 800'!$K$9,-'Sim Reg N° 800'!$J$10),0))+F189*0.21</f>
        <v>23.402034262371632</v>
      </c>
      <c r="H189" s="14">
        <f t="shared" si="16"/>
        <v>742.86266444567423</v>
      </c>
      <c r="I189" s="14">
        <f t="shared" si="14"/>
        <v>0</v>
      </c>
      <c r="J189" s="14">
        <f t="shared" si="15"/>
        <v>742.86266444567423</v>
      </c>
      <c r="K189" s="26">
        <f t="shared" si="17"/>
        <v>222.85879933370225</v>
      </c>
      <c r="L189" s="21"/>
      <c r="M189" s="19"/>
      <c r="R189" s="20"/>
    </row>
    <row r="190" spans="1:18" hidden="1" x14ac:dyDescent="0.2">
      <c r="A190" s="7"/>
      <c r="B190" s="42">
        <v>157</v>
      </c>
      <c r="C190" s="14">
        <f t="shared" si="13"/>
        <v>86299.013646663312</v>
      </c>
      <c r="D190" s="14">
        <f>IF(B190&gt;$K$9,"",IF($D$8=Variables!$B$3,PPMT($D$18,B190,$K$9,-$J$10),IF($D$8=Variables!$B$6,PPMT($D$18,B190,$K$9,-$J$10),IF($D$8=Variables!$B$5,PPMT($D$18,B190-12,$K$9-12,-$C$45),IF(AND($D$8=Variables!$B$4,$D$15="si"),0,PPMT($D$18,B190-18,$K$9-18,-$J$10-SUM($L$34:$L$51))))))+IF(AND($D$8=Variables!$B$4,'Sim Reg N° 800'!$D$15="SI"),PPMT($D$18,B190-24,$K$9-24,-$J$10-SUM($M$34:$M$57))))</f>
        <v>283.33855104963328</v>
      </c>
      <c r="E190" s="14">
        <f>IF(B190&gt;$K$9,"",IF($D$8=Variables!$B$3,IPMT($D$18,B190,$K$9,-$J$10),IF($D$8=Variables!$B$6,IPMT($D$18,B190,$K$9,-$J$10),IF($D$8=Variables!$B$5,IPMT($D$18,B190-12,$K$9-12,-$C$45),IF(AND($D$8=Variables!$B$4,$D$15="si"),0,IPMT($D$18,B190-18,$K$9-18,-$J$10-SUM($L$34:$L$51))))))+IF(AND($D$8=Variables!$B$4,'Sim Reg N° 800'!$D$15="SI"),IPMT($D$18,B190-24,$K$9-24,-$J$10-SUM($M$34:$M$57))))</f>
        <v>324.68382074142346</v>
      </c>
      <c r="F190" s="14">
        <f>IF(B190&gt;$K$9,"",IF(AND($D$8=Variables!$B$3,$D$12="SI",$D$19="NO",$D$13="SI",B190&gt;=7),(PMT(0.06/12,$K$9,-$C$33)-PMT(0.045/12,$K$9,-$C$33)),IF(AND($D$8=Variables!$B$5,$D$19="NO",$D$12="SI",$D$13="SI",B190&gt;12),(PMT(0.06/12,$K$9,-$C$45)-PMT(0.045/12,$K$9,-$C$45)),IF(AND($D$8=Variables!$B$4,$D$12="SI",$D$19="NO",$D$13="SI",$D$15="NO",B190&gt;18),(PMT(0.06/12,$K$9,-$C$51)-PMT(0.045/12,$K$9,-$C$51)),IF(AND($D$8=Variables!$B$4,$D$12="SI",$D$19="NO",$D$13="SI",$D$15="SI",B190&gt;24),(PMT(0.06/12,$K$9,-$C$57)-PMT(0.045/12,$K$9,-$C$57)),0)))))</f>
        <v>111.43825839224587</v>
      </c>
      <c r="G190" s="14">
        <f>+IF(B190&gt;$K$9,"",IF($D$8=Variables!$B$6,0.21*IPMT('Sim Reg N° 800'!$D$18,'Sim Reg N° 800'!B190,'Sim Reg N° 800'!$K$9,-'Sim Reg N° 800'!$J$10),0))+F190*0.21</f>
        <v>23.402034262371632</v>
      </c>
      <c r="H190" s="14">
        <f t="shared" si="16"/>
        <v>742.86266444567423</v>
      </c>
      <c r="I190" s="14">
        <f t="shared" si="14"/>
        <v>95.999999999999986</v>
      </c>
      <c r="J190" s="14">
        <f t="shared" si="15"/>
        <v>838.86266444567423</v>
      </c>
      <c r="K190" s="26">
        <f t="shared" si="17"/>
        <v>251.65879933370226</v>
      </c>
      <c r="L190" s="21"/>
      <c r="M190" s="19"/>
      <c r="R190" s="20"/>
    </row>
    <row r="191" spans="1:18" hidden="1" x14ac:dyDescent="0.2">
      <c r="A191" s="7"/>
      <c r="B191" s="42">
        <v>158</v>
      </c>
      <c r="C191" s="14">
        <f t="shared" si="13"/>
        <v>86014.61257604725</v>
      </c>
      <c r="D191" s="14">
        <f>IF(B191&gt;$K$9,"",IF($D$8=Variables!$B$3,PPMT($D$18,B191,$K$9,-$J$10),IF($D$8=Variables!$B$6,PPMT($D$18,B191,$K$9,-$J$10),IF($D$8=Variables!$B$5,PPMT($D$18,B191-12,$K$9-12,-$C$45),IF(AND($D$8=Variables!$B$4,$D$15="si"),0,PPMT($D$18,B191-18,$K$9-18,-$J$10-SUM($L$34:$L$51))))))+IF(AND($D$8=Variables!$B$4,'Sim Reg N° 800'!$D$15="SI"),PPMT($D$18,B191-24,$K$9-24,-$J$10-SUM($M$34:$M$57))))</f>
        <v>284.40107061606943</v>
      </c>
      <c r="E191" s="14">
        <f>IF(B191&gt;$K$9,"",IF($D$8=Variables!$B$3,IPMT($D$18,B191,$K$9,-$J$10),IF($D$8=Variables!$B$6,IPMT($D$18,B191,$K$9,-$J$10),IF($D$8=Variables!$B$5,IPMT($D$18,B191-12,$K$9-12,-$C$45),IF(AND($D$8=Variables!$B$4,$D$15="si"),0,IPMT($D$18,B191-18,$K$9-18,-$J$10-SUM($L$34:$L$51))))))+IF(AND($D$8=Variables!$B$4,'Sim Reg N° 800'!$D$15="SI"),IPMT($D$18,B191-24,$K$9-24,-$J$10-SUM($M$34:$M$57))))</f>
        <v>323.62130117498754</v>
      </c>
      <c r="F191" s="14">
        <f>IF(B191&gt;$K$9,"",IF(AND($D$8=Variables!$B$3,$D$12="SI",$D$19="NO",$D$13="SI",B191&gt;=7),(PMT(0.06/12,$K$9,-$C$33)-PMT(0.045/12,$K$9,-$C$33)),IF(AND($D$8=Variables!$B$5,$D$19="NO",$D$12="SI",$D$13="SI",B191&gt;12),(PMT(0.06/12,$K$9,-$C$45)-PMT(0.045/12,$K$9,-$C$45)),IF(AND($D$8=Variables!$B$4,$D$12="SI",$D$19="NO",$D$13="SI",$D$15="NO",B191&gt;18),(PMT(0.06/12,$K$9,-$C$51)-PMT(0.045/12,$K$9,-$C$51)),IF(AND($D$8=Variables!$B$4,$D$12="SI",$D$19="NO",$D$13="SI",$D$15="SI",B191&gt;24),(PMT(0.06/12,$K$9,-$C$57)-PMT(0.045/12,$K$9,-$C$57)),0)))))</f>
        <v>111.43825839224587</v>
      </c>
      <c r="G191" s="14">
        <f>+IF(B191&gt;$K$9,"",IF($D$8=Variables!$B$6,0.21*IPMT('Sim Reg N° 800'!$D$18,'Sim Reg N° 800'!B191,'Sim Reg N° 800'!$K$9,-'Sim Reg N° 800'!$J$10),0))+F191*0.21</f>
        <v>23.402034262371632</v>
      </c>
      <c r="H191" s="14">
        <f t="shared" si="16"/>
        <v>742.86266444567445</v>
      </c>
      <c r="I191" s="14">
        <f t="shared" si="14"/>
        <v>0</v>
      </c>
      <c r="J191" s="14">
        <f t="shared" si="15"/>
        <v>742.86266444567445</v>
      </c>
      <c r="K191" s="26">
        <f t="shared" si="17"/>
        <v>222.85879933370234</v>
      </c>
      <c r="L191" s="21"/>
      <c r="M191" s="19"/>
      <c r="R191" s="20"/>
    </row>
    <row r="192" spans="1:18" hidden="1" x14ac:dyDescent="0.2">
      <c r="A192" s="7"/>
      <c r="B192" s="42">
        <v>159</v>
      </c>
      <c r="C192" s="14">
        <f t="shared" si="13"/>
        <v>85729.145001416371</v>
      </c>
      <c r="D192" s="14">
        <f>IF(B192&gt;$K$9,"",IF($D$8=Variables!$B$3,PPMT($D$18,B192,$K$9,-$J$10),IF($D$8=Variables!$B$6,PPMT($D$18,B192,$K$9,-$J$10),IF($D$8=Variables!$B$5,PPMT($D$18,B192-12,$K$9-12,-$C$45),IF(AND($D$8=Variables!$B$4,$D$15="si"),0,PPMT($D$18,B192-18,$K$9-18,-$J$10-SUM($L$34:$L$51))))))+IF(AND($D$8=Variables!$B$4,'Sim Reg N° 800'!$D$15="SI"),PPMT($D$18,B192-24,$K$9-24,-$J$10-SUM($M$34:$M$57))))</f>
        <v>285.46757463087965</v>
      </c>
      <c r="E192" s="14">
        <f>IF(B192&gt;$K$9,"",IF($D$8=Variables!$B$3,IPMT($D$18,B192,$K$9,-$J$10),IF($D$8=Variables!$B$6,IPMT($D$18,B192,$K$9,-$J$10),IF($D$8=Variables!$B$5,IPMT($D$18,B192-12,$K$9-12,-$C$45),IF(AND($D$8=Variables!$B$4,$D$15="si"),0,IPMT($D$18,B192-18,$K$9-18,-$J$10-SUM($L$34:$L$51))))))+IF(AND($D$8=Variables!$B$4,'Sim Reg N° 800'!$D$15="SI"),IPMT($D$18,B192-24,$K$9-24,-$J$10-SUM($M$34:$M$57))))</f>
        <v>322.5547971601772</v>
      </c>
      <c r="F192" s="14">
        <f>IF(B192&gt;$K$9,"",IF(AND($D$8=Variables!$B$3,$D$12="SI",$D$19="NO",$D$13="SI",B192&gt;=7),(PMT(0.06/12,$K$9,-$C$33)-PMT(0.045/12,$K$9,-$C$33)),IF(AND($D$8=Variables!$B$5,$D$19="NO",$D$12="SI",$D$13="SI",B192&gt;12),(PMT(0.06/12,$K$9,-$C$45)-PMT(0.045/12,$K$9,-$C$45)),IF(AND($D$8=Variables!$B$4,$D$12="SI",$D$19="NO",$D$13="SI",$D$15="NO",B192&gt;18),(PMT(0.06/12,$K$9,-$C$51)-PMT(0.045/12,$K$9,-$C$51)),IF(AND($D$8=Variables!$B$4,$D$12="SI",$D$19="NO",$D$13="SI",$D$15="SI",B192&gt;24),(PMT(0.06/12,$K$9,-$C$57)-PMT(0.045/12,$K$9,-$C$57)),0)))))</f>
        <v>111.43825839224587</v>
      </c>
      <c r="G192" s="14">
        <f>+IF(B192&gt;$K$9,"",IF($D$8=Variables!$B$6,0.21*IPMT('Sim Reg N° 800'!$D$18,'Sim Reg N° 800'!B192,'Sim Reg N° 800'!$K$9,-'Sim Reg N° 800'!$J$10),0))+F192*0.21</f>
        <v>23.402034262371632</v>
      </c>
      <c r="H192" s="14">
        <f t="shared" si="16"/>
        <v>742.86266444567434</v>
      </c>
      <c r="I192" s="14">
        <f t="shared" si="14"/>
        <v>0</v>
      </c>
      <c r="J192" s="14">
        <f t="shared" si="15"/>
        <v>742.86266444567434</v>
      </c>
      <c r="K192" s="26">
        <f t="shared" si="17"/>
        <v>222.85879933370231</v>
      </c>
      <c r="L192" s="21"/>
      <c r="M192" s="19"/>
      <c r="R192" s="20"/>
    </row>
    <row r="193" spans="1:18" hidden="1" x14ac:dyDescent="0.2">
      <c r="A193" s="7"/>
      <c r="B193" s="42">
        <v>160</v>
      </c>
      <c r="C193" s="14">
        <f t="shared" si="13"/>
        <v>85442.606923380619</v>
      </c>
      <c r="D193" s="14">
        <f>IF(B193&gt;$K$9,"",IF($D$8=Variables!$B$3,PPMT($D$18,B193,$K$9,-$J$10),IF($D$8=Variables!$B$6,PPMT($D$18,B193,$K$9,-$J$10),IF($D$8=Variables!$B$5,PPMT($D$18,B193-12,$K$9-12,-$C$45),IF(AND($D$8=Variables!$B$4,$D$15="si"),0,PPMT($D$18,B193-18,$K$9-18,-$J$10-SUM($L$34:$L$51))))))+IF(AND($D$8=Variables!$B$4,'Sim Reg N° 800'!$D$15="SI"),PPMT($D$18,B193-24,$K$9-24,-$J$10-SUM($M$34:$M$57))))</f>
        <v>286.53807803574551</v>
      </c>
      <c r="E193" s="14">
        <f>IF(B193&gt;$K$9,"",IF($D$8=Variables!$B$3,IPMT($D$18,B193,$K$9,-$J$10),IF($D$8=Variables!$B$6,IPMT($D$18,B193,$K$9,-$J$10),IF($D$8=Variables!$B$5,IPMT($D$18,B193-12,$K$9-12,-$C$45),IF(AND($D$8=Variables!$B$4,$D$15="si"),0,IPMT($D$18,B193-18,$K$9-18,-$J$10-SUM($L$34:$L$51))))))+IF(AND($D$8=Variables!$B$4,'Sim Reg N° 800'!$D$15="SI"),IPMT($D$18,B193-24,$K$9-24,-$J$10-SUM($M$34:$M$57))))</f>
        <v>321.48429375531146</v>
      </c>
      <c r="F193" s="14">
        <f>IF(B193&gt;$K$9,"",IF(AND($D$8=Variables!$B$3,$D$12="SI",$D$19="NO",$D$13="SI",B193&gt;=7),(PMT(0.06/12,$K$9,-$C$33)-PMT(0.045/12,$K$9,-$C$33)),IF(AND($D$8=Variables!$B$5,$D$19="NO",$D$12="SI",$D$13="SI",B193&gt;12),(PMT(0.06/12,$K$9,-$C$45)-PMT(0.045/12,$K$9,-$C$45)),IF(AND($D$8=Variables!$B$4,$D$12="SI",$D$19="NO",$D$13="SI",$D$15="NO",B193&gt;18),(PMT(0.06/12,$K$9,-$C$51)-PMT(0.045/12,$K$9,-$C$51)),IF(AND($D$8=Variables!$B$4,$D$12="SI",$D$19="NO",$D$13="SI",$D$15="SI",B193&gt;24),(PMT(0.06/12,$K$9,-$C$57)-PMT(0.045/12,$K$9,-$C$57)),0)))))</f>
        <v>111.43825839224587</v>
      </c>
      <c r="G193" s="14">
        <f>+IF(B193&gt;$K$9,"",IF($D$8=Variables!$B$6,0.21*IPMT('Sim Reg N° 800'!$D$18,'Sim Reg N° 800'!B193,'Sim Reg N° 800'!$K$9,-'Sim Reg N° 800'!$J$10),0))+F193*0.21</f>
        <v>23.402034262371632</v>
      </c>
      <c r="H193" s="14">
        <f t="shared" si="16"/>
        <v>742.86266444567445</v>
      </c>
      <c r="I193" s="14">
        <f t="shared" si="14"/>
        <v>0</v>
      </c>
      <c r="J193" s="14">
        <f t="shared" si="15"/>
        <v>742.86266444567445</v>
      </c>
      <c r="K193" s="26">
        <f t="shared" si="17"/>
        <v>222.85879933370234</v>
      </c>
      <c r="L193" s="21"/>
      <c r="M193" s="19"/>
      <c r="R193" s="20"/>
    </row>
    <row r="194" spans="1:18" hidden="1" x14ac:dyDescent="0.2">
      <c r="A194" s="7"/>
      <c r="B194" s="42">
        <v>161</v>
      </c>
      <c r="C194" s="14">
        <f t="shared" si="13"/>
        <v>85154.994327552238</v>
      </c>
      <c r="D194" s="14">
        <f>IF(B194&gt;$K$9,"",IF($D$8=Variables!$B$3,PPMT($D$18,B194,$K$9,-$J$10),IF($D$8=Variables!$B$6,PPMT($D$18,B194,$K$9,-$J$10),IF($D$8=Variables!$B$5,PPMT($D$18,B194-12,$K$9-12,-$C$45),IF(AND($D$8=Variables!$B$4,$D$15="si"),0,PPMT($D$18,B194-18,$K$9-18,-$J$10-SUM($L$34:$L$51))))))+IF(AND($D$8=Variables!$B$4,'Sim Reg N° 800'!$D$15="SI"),PPMT($D$18,B194-24,$K$9-24,-$J$10-SUM($M$34:$M$57))))</f>
        <v>287.61259582837954</v>
      </c>
      <c r="E194" s="14">
        <f>IF(B194&gt;$K$9,"",IF($D$8=Variables!$B$3,IPMT($D$18,B194,$K$9,-$J$10),IF($D$8=Variables!$B$6,IPMT($D$18,B194,$K$9,-$J$10),IF($D$8=Variables!$B$5,IPMT($D$18,B194-12,$K$9-12,-$C$45),IF(AND($D$8=Variables!$B$4,$D$15="si"),0,IPMT($D$18,B194-18,$K$9-18,-$J$10-SUM($L$34:$L$51))))))+IF(AND($D$8=Variables!$B$4,'Sim Reg N° 800'!$D$15="SI"),IPMT($D$18,B194-24,$K$9-24,-$J$10-SUM($M$34:$M$57))))</f>
        <v>320.40977596267732</v>
      </c>
      <c r="F194" s="14">
        <f>IF(B194&gt;$K$9,"",IF(AND($D$8=Variables!$B$3,$D$12="SI",$D$19="NO",$D$13="SI",B194&gt;=7),(PMT(0.06/12,$K$9,-$C$33)-PMT(0.045/12,$K$9,-$C$33)),IF(AND($D$8=Variables!$B$5,$D$19="NO",$D$12="SI",$D$13="SI",B194&gt;12),(PMT(0.06/12,$K$9,-$C$45)-PMT(0.045/12,$K$9,-$C$45)),IF(AND($D$8=Variables!$B$4,$D$12="SI",$D$19="NO",$D$13="SI",$D$15="NO",B194&gt;18),(PMT(0.06/12,$K$9,-$C$51)-PMT(0.045/12,$K$9,-$C$51)),IF(AND($D$8=Variables!$B$4,$D$12="SI",$D$19="NO",$D$13="SI",$D$15="SI",B194&gt;24),(PMT(0.06/12,$K$9,-$C$57)-PMT(0.045/12,$K$9,-$C$57)),0)))))</f>
        <v>111.43825839224587</v>
      </c>
      <c r="G194" s="14">
        <f>+IF(B194&gt;$K$9,"",IF($D$8=Variables!$B$6,0.21*IPMT('Sim Reg N° 800'!$D$18,'Sim Reg N° 800'!B194,'Sim Reg N° 800'!$K$9,-'Sim Reg N° 800'!$J$10),0))+F194*0.21</f>
        <v>23.402034262371632</v>
      </c>
      <c r="H194" s="14">
        <f t="shared" si="16"/>
        <v>742.86266444567434</v>
      </c>
      <c r="I194" s="14">
        <f t="shared" si="14"/>
        <v>0</v>
      </c>
      <c r="J194" s="14">
        <f t="shared" si="15"/>
        <v>742.86266444567434</v>
      </c>
      <c r="K194" s="26">
        <f t="shared" si="17"/>
        <v>222.85879933370231</v>
      </c>
      <c r="L194" s="21"/>
      <c r="M194" s="19"/>
      <c r="R194" s="20"/>
    </row>
    <row r="195" spans="1:18" hidden="1" x14ac:dyDescent="0.2">
      <c r="A195" s="7"/>
      <c r="B195" s="42">
        <v>162</v>
      </c>
      <c r="C195" s="14">
        <f t="shared" si="13"/>
        <v>84866.303184489501</v>
      </c>
      <c r="D195" s="14">
        <f>IF(B195&gt;$K$9,"",IF($D$8=Variables!$B$3,PPMT($D$18,B195,$K$9,-$J$10),IF($D$8=Variables!$B$6,PPMT($D$18,B195,$K$9,-$J$10),IF($D$8=Variables!$B$5,PPMT($D$18,B195-12,$K$9-12,-$C$45),IF(AND($D$8=Variables!$B$4,$D$15="si"),0,PPMT($D$18,B195-18,$K$9-18,-$J$10-SUM($L$34:$L$51))))))+IF(AND($D$8=Variables!$B$4,'Sim Reg N° 800'!$D$15="SI"),PPMT($D$18,B195-24,$K$9-24,-$J$10-SUM($M$34:$M$57))))</f>
        <v>288.69114306273599</v>
      </c>
      <c r="E195" s="14">
        <f>IF(B195&gt;$K$9,"",IF($D$8=Variables!$B$3,IPMT($D$18,B195,$K$9,-$J$10),IF($D$8=Variables!$B$6,IPMT($D$18,B195,$K$9,-$J$10),IF($D$8=Variables!$B$5,IPMT($D$18,B195-12,$K$9-12,-$C$45),IF(AND($D$8=Variables!$B$4,$D$15="si"),0,IPMT($D$18,B195-18,$K$9-18,-$J$10-SUM($L$34:$L$51))))))+IF(AND($D$8=Variables!$B$4,'Sim Reg N° 800'!$D$15="SI"),IPMT($D$18,B195-24,$K$9-24,-$J$10-SUM($M$34:$M$57))))</f>
        <v>319.33122872832087</v>
      </c>
      <c r="F195" s="14">
        <f>IF(B195&gt;$K$9,"",IF(AND($D$8=Variables!$B$3,$D$12="SI",$D$19="NO",$D$13="SI",B195&gt;=7),(PMT(0.06/12,$K$9,-$C$33)-PMT(0.045/12,$K$9,-$C$33)),IF(AND($D$8=Variables!$B$5,$D$19="NO",$D$12="SI",$D$13="SI",B195&gt;12),(PMT(0.06/12,$K$9,-$C$45)-PMT(0.045/12,$K$9,-$C$45)),IF(AND($D$8=Variables!$B$4,$D$12="SI",$D$19="NO",$D$13="SI",$D$15="NO",B195&gt;18),(PMT(0.06/12,$K$9,-$C$51)-PMT(0.045/12,$K$9,-$C$51)),IF(AND($D$8=Variables!$B$4,$D$12="SI",$D$19="NO",$D$13="SI",$D$15="SI",B195&gt;24),(PMT(0.06/12,$K$9,-$C$57)-PMT(0.045/12,$K$9,-$C$57)),0)))))</f>
        <v>111.43825839224587</v>
      </c>
      <c r="G195" s="14">
        <f>+IF(B195&gt;$K$9,"",IF($D$8=Variables!$B$6,0.21*IPMT('Sim Reg N° 800'!$D$18,'Sim Reg N° 800'!B195,'Sim Reg N° 800'!$K$9,-'Sim Reg N° 800'!$J$10),0))+F195*0.21</f>
        <v>23.402034262371632</v>
      </c>
      <c r="H195" s="14">
        <f t="shared" si="16"/>
        <v>742.86266444567434</v>
      </c>
      <c r="I195" s="14">
        <f t="shared" si="14"/>
        <v>0</v>
      </c>
      <c r="J195" s="14">
        <f t="shared" si="15"/>
        <v>742.86266444567434</v>
      </c>
      <c r="K195" s="26">
        <f t="shared" si="17"/>
        <v>222.85879933370231</v>
      </c>
      <c r="L195" s="21"/>
      <c r="M195" s="19"/>
      <c r="R195" s="20"/>
    </row>
    <row r="196" spans="1:18" hidden="1" x14ac:dyDescent="0.2">
      <c r="A196" s="7"/>
      <c r="B196" s="42">
        <v>163</v>
      </c>
      <c r="C196" s="14">
        <f t="shared" si="13"/>
        <v>84576.529449640278</v>
      </c>
      <c r="D196" s="14">
        <f>IF(B196&gt;$K$9,"",IF($D$8=Variables!$B$3,PPMT($D$18,B196,$K$9,-$J$10),IF($D$8=Variables!$B$6,PPMT($D$18,B196,$K$9,-$J$10),IF($D$8=Variables!$B$5,PPMT($D$18,B196-12,$K$9-12,-$C$45),IF(AND($D$8=Variables!$B$4,$D$15="si"),0,PPMT($D$18,B196-18,$K$9-18,-$J$10-SUM($L$34:$L$51))))))+IF(AND($D$8=Variables!$B$4,'Sim Reg N° 800'!$D$15="SI"),PPMT($D$18,B196-24,$K$9-24,-$J$10-SUM($M$34:$M$57))))</f>
        <v>289.77373484922123</v>
      </c>
      <c r="E196" s="14">
        <f>IF(B196&gt;$K$9,"",IF($D$8=Variables!$B$3,IPMT($D$18,B196,$K$9,-$J$10),IF($D$8=Variables!$B$6,IPMT($D$18,B196,$K$9,-$J$10),IF($D$8=Variables!$B$5,IPMT($D$18,B196-12,$K$9-12,-$C$45),IF(AND($D$8=Variables!$B$4,$D$15="si"),0,IPMT($D$18,B196-18,$K$9-18,-$J$10-SUM($L$34:$L$51))))))+IF(AND($D$8=Variables!$B$4,'Sim Reg N° 800'!$D$15="SI"),IPMT($D$18,B196-24,$K$9-24,-$J$10-SUM($M$34:$M$57))))</f>
        <v>318.24863694183563</v>
      </c>
      <c r="F196" s="14">
        <f>IF(B196&gt;$K$9,"",IF(AND($D$8=Variables!$B$3,$D$12="SI",$D$19="NO",$D$13="SI",B196&gt;=7),(PMT(0.06/12,$K$9,-$C$33)-PMT(0.045/12,$K$9,-$C$33)),IF(AND($D$8=Variables!$B$5,$D$19="NO",$D$12="SI",$D$13="SI",B196&gt;12),(PMT(0.06/12,$K$9,-$C$45)-PMT(0.045/12,$K$9,-$C$45)),IF(AND($D$8=Variables!$B$4,$D$12="SI",$D$19="NO",$D$13="SI",$D$15="NO",B196&gt;18),(PMT(0.06/12,$K$9,-$C$51)-PMT(0.045/12,$K$9,-$C$51)),IF(AND($D$8=Variables!$B$4,$D$12="SI",$D$19="NO",$D$13="SI",$D$15="SI",B196&gt;24),(PMT(0.06/12,$K$9,-$C$57)-PMT(0.045/12,$K$9,-$C$57)),0)))))</f>
        <v>111.43825839224587</v>
      </c>
      <c r="G196" s="14">
        <f>+IF(B196&gt;$K$9,"",IF($D$8=Variables!$B$6,0.21*IPMT('Sim Reg N° 800'!$D$18,'Sim Reg N° 800'!B196,'Sim Reg N° 800'!$K$9,-'Sim Reg N° 800'!$J$10),0))+F196*0.21</f>
        <v>23.402034262371632</v>
      </c>
      <c r="H196" s="14">
        <f t="shared" si="16"/>
        <v>742.86266444567434</v>
      </c>
      <c r="I196" s="14">
        <f t="shared" si="14"/>
        <v>0</v>
      </c>
      <c r="J196" s="14">
        <f t="shared" si="15"/>
        <v>742.86266444567434</v>
      </c>
      <c r="K196" s="26">
        <f t="shared" si="17"/>
        <v>222.85879933370231</v>
      </c>
      <c r="L196" s="21"/>
      <c r="M196" s="19"/>
      <c r="R196" s="20"/>
    </row>
    <row r="197" spans="1:18" hidden="1" x14ac:dyDescent="0.2">
      <c r="A197" s="7"/>
      <c r="B197" s="42">
        <v>164</v>
      </c>
      <c r="C197" s="14">
        <f t="shared" si="13"/>
        <v>84285.669063285372</v>
      </c>
      <c r="D197" s="14">
        <f>IF(B197&gt;$K$9,"",IF($D$8=Variables!$B$3,PPMT($D$18,B197,$K$9,-$J$10),IF($D$8=Variables!$B$6,PPMT($D$18,B197,$K$9,-$J$10),IF($D$8=Variables!$B$5,PPMT($D$18,B197-12,$K$9-12,-$C$45),IF(AND($D$8=Variables!$B$4,$D$15="si"),0,PPMT($D$18,B197-18,$K$9-18,-$J$10-SUM($L$34:$L$51))))))+IF(AND($D$8=Variables!$B$4,'Sim Reg N° 800'!$D$15="SI"),PPMT($D$18,B197-24,$K$9-24,-$J$10-SUM($M$34:$M$57))))</f>
        <v>290.86038635490581</v>
      </c>
      <c r="E197" s="14">
        <f>IF(B197&gt;$K$9,"",IF($D$8=Variables!$B$3,IPMT($D$18,B197,$K$9,-$J$10),IF($D$8=Variables!$B$6,IPMT($D$18,B197,$K$9,-$J$10),IF($D$8=Variables!$B$5,IPMT($D$18,B197-12,$K$9-12,-$C$45),IF(AND($D$8=Variables!$B$4,$D$15="si"),0,IPMT($D$18,B197-18,$K$9-18,-$J$10-SUM($L$34:$L$51))))))+IF(AND($D$8=Variables!$B$4,'Sim Reg N° 800'!$D$15="SI"),IPMT($D$18,B197-24,$K$9-24,-$J$10-SUM($M$34:$M$57))))</f>
        <v>317.16198543615104</v>
      </c>
      <c r="F197" s="14">
        <f>IF(B197&gt;$K$9,"",IF(AND($D$8=Variables!$B$3,$D$12="SI",$D$19="NO",$D$13="SI",B197&gt;=7),(PMT(0.06/12,$K$9,-$C$33)-PMT(0.045/12,$K$9,-$C$33)),IF(AND($D$8=Variables!$B$5,$D$19="NO",$D$12="SI",$D$13="SI",B197&gt;12),(PMT(0.06/12,$K$9,-$C$45)-PMT(0.045/12,$K$9,-$C$45)),IF(AND($D$8=Variables!$B$4,$D$12="SI",$D$19="NO",$D$13="SI",$D$15="NO",B197&gt;18),(PMT(0.06/12,$K$9,-$C$51)-PMT(0.045/12,$K$9,-$C$51)),IF(AND($D$8=Variables!$B$4,$D$12="SI",$D$19="NO",$D$13="SI",$D$15="SI",B197&gt;24),(PMT(0.06/12,$K$9,-$C$57)-PMT(0.045/12,$K$9,-$C$57)),0)))))</f>
        <v>111.43825839224587</v>
      </c>
      <c r="G197" s="14">
        <f>+IF(B197&gt;$K$9,"",IF($D$8=Variables!$B$6,0.21*IPMT('Sim Reg N° 800'!$D$18,'Sim Reg N° 800'!B197,'Sim Reg N° 800'!$K$9,-'Sim Reg N° 800'!$J$10),0))+F197*0.21</f>
        <v>23.402034262371632</v>
      </c>
      <c r="H197" s="14">
        <f t="shared" si="16"/>
        <v>742.86266444567434</v>
      </c>
      <c r="I197" s="14">
        <f t="shared" si="14"/>
        <v>0</v>
      </c>
      <c r="J197" s="14">
        <f t="shared" si="15"/>
        <v>742.86266444567434</v>
      </c>
      <c r="K197" s="26">
        <f t="shared" si="17"/>
        <v>222.85879933370231</v>
      </c>
      <c r="L197" s="21"/>
      <c r="M197" s="19"/>
      <c r="R197" s="20"/>
    </row>
    <row r="198" spans="1:18" hidden="1" x14ac:dyDescent="0.2">
      <c r="A198" s="7"/>
      <c r="B198" s="42">
        <v>165</v>
      </c>
      <c r="C198" s="14">
        <f t="shared" si="13"/>
        <v>83993.71795048163</v>
      </c>
      <c r="D198" s="14">
        <f>IF(B198&gt;$K$9,"",IF($D$8=Variables!$B$3,PPMT($D$18,B198,$K$9,-$J$10),IF($D$8=Variables!$B$6,PPMT($D$18,B198,$K$9,-$J$10),IF($D$8=Variables!$B$5,PPMT($D$18,B198-12,$K$9-12,-$C$45),IF(AND($D$8=Variables!$B$4,$D$15="si"),0,PPMT($D$18,B198-18,$K$9-18,-$J$10-SUM($L$34:$L$51))))))+IF(AND($D$8=Variables!$B$4,'Sim Reg N° 800'!$D$15="SI"),PPMT($D$18,B198-24,$K$9-24,-$J$10-SUM($M$34:$M$57))))</f>
        <v>291.95111280373669</v>
      </c>
      <c r="E198" s="14">
        <f>IF(B198&gt;$K$9,"",IF($D$8=Variables!$B$3,IPMT($D$18,B198,$K$9,-$J$10),IF($D$8=Variables!$B$6,IPMT($D$18,B198,$K$9,-$J$10),IF($D$8=Variables!$B$5,IPMT($D$18,B198-12,$K$9-12,-$C$45),IF(AND($D$8=Variables!$B$4,$D$15="si"),0,IPMT($D$18,B198-18,$K$9-18,-$J$10-SUM($L$34:$L$51))))))+IF(AND($D$8=Variables!$B$4,'Sim Reg N° 800'!$D$15="SI"),IPMT($D$18,B198-24,$K$9-24,-$J$10-SUM($M$34:$M$57))))</f>
        <v>316.07125898732016</v>
      </c>
      <c r="F198" s="14">
        <f>IF(B198&gt;$K$9,"",IF(AND($D$8=Variables!$B$3,$D$12="SI",$D$19="NO",$D$13="SI",B198&gt;=7),(PMT(0.06/12,$K$9,-$C$33)-PMT(0.045/12,$K$9,-$C$33)),IF(AND($D$8=Variables!$B$5,$D$19="NO",$D$12="SI",$D$13="SI",B198&gt;12),(PMT(0.06/12,$K$9,-$C$45)-PMT(0.045/12,$K$9,-$C$45)),IF(AND($D$8=Variables!$B$4,$D$12="SI",$D$19="NO",$D$13="SI",$D$15="NO",B198&gt;18),(PMT(0.06/12,$K$9,-$C$51)-PMT(0.045/12,$K$9,-$C$51)),IF(AND($D$8=Variables!$B$4,$D$12="SI",$D$19="NO",$D$13="SI",$D$15="SI",B198&gt;24),(PMT(0.06/12,$K$9,-$C$57)-PMT(0.045/12,$K$9,-$C$57)),0)))))</f>
        <v>111.43825839224587</v>
      </c>
      <c r="G198" s="14">
        <f>+IF(B198&gt;$K$9,"",IF($D$8=Variables!$B$6,0.21*IPMT('Sim Reg N° 800'!$D$18,'Sim Reg N° 800'!B198,'Sim Reg N° 800'!$K$9,-'Sim Reg N° 800'!$J$10),0))+F198*0.21</f>
        <v>23.402034262371632</v>
      </c>
      <c r="H198" s="14">
        <f t="shared" si="16"/>
        <v>742.86266444567434</v>
      </c>
      <c r="I198" s="14">
        <f t="shared" si="14"/>
        <v>0</v>
      </c>
      <c r="J198" s="14">
        <f t="shared" si="15"/>
        <v>742.86266444567434</v>
      </c>
      <c r="K198" s="26">
        <f t="shared" si="17"/>
        <v>222.85879933370231</v>
      </c>
      <c r="L198" s="21"/>
      <c r="M198" s="19"/>
      <c r="R198" s="20"/>
    </row>
    <row r="199" spans="1:18" hidden="1" x14ac:dyDescent="0.2">
      <c r="A199" s="7"/>
      <c r="B199" s="42">
        <v>166</v>
      </c>
      <c r="C199" s="14">
        <f t="shared" si="13"/>
        <v>83700.672021004881</v>
      </c>
      <c r="D199" s="14">
        <f>IF(B199&gt;$K$9,"",IF($D$8=Variables!$B$3,PPMT($D$18,B199,$K$9,-$J$10),IF($D$8=Variables!$B$6,PPMT($D$18,B199,$K$9,-$J$10),IF($D$8=Variables!$B$5,PPMT($D$18,B199-12,$K$9-12,-$C$45),IF(AND($D$8=Variables!$B$4,$D$15="si"),0,PPMT($D$18,B199-18,$K$9-18,-$J$10-SUM($L$34:$L$51))))))+IF(AND($D$8=Variables!$B$4,'Sim Reg N° 800'!$D$15="SI"),PPMT($D$18,B199-24,$K$9-24,-$J$10-SUM($M$34:$M$57))))</f>
        <v>293.0459294767507</v>
      </c>
      <c r="E199" s="14">
        <f>IF(B199&gt;$K$9,"",IF($D$8=Variables!$B$3,IPMT($D$18,B199,$K$9,-$J$10),IF($D$8=Variables!$B$6,IPMT($D$18,B199,$K$9,-$J$10),IF($D$8=Variables!$B$5,IPMT($D$18,B199-12,$K$9-12,-$C$45),IF(AND($D$8=Variables!$B$4,$D$15="si"),0,IPMT($D$18,B199-18,$K$9-18,-$J$10-SUM($L$34:$L$51))))))+IF(AND($D$8=Variables!$B$4,'Sim Reg N° 800'!$D$15="SI"),IPMT($D$18,B199-24,$K$9-24,-$J$10-SUM($M$34:$M$57))))</f>
        <v>314.97644231430615</v>
      </c>
      <c r="F199" s="14">
        <f>IF(B199&gt;$K$9,"",IF(AND($D$8=Variables!$B$3,$D$12="SI",$D$19="NO",$D$13="SI",B199&gt;=7),(PMT(0.06/12,$K$9,-$C$33)-PMT(0.045/12,$K$9,-$C$33)),IF(AND($D$8=Variables!$B$5,$D$19="NO",$D$12="SI",$D$13="SI",B199&gt;12),(PMT(0.06/12,$K$9,-$C$45)-PMT(0.045/12,$K$9,-$C$45)),IF(AND($D$8=Variables!$B$4,$D$12="SI",$D$19="NO",$D$13="SI",$D$15="NO",B199&gt;18),(PMT(0.06/12,$K$9,-$C$51)-PMT(0.045/12,$K$9,-$C$51)),IF(AND($D$8=Variables!$B$4,$D$12="SI",$D$19="NO",$D$13="SI",$D$15="SI",B199&gt;24),(PMT(0.06/12,$K$9,-$C$57)-PMT(0.045/12,$K$9,-$C$57)),0)))))</f>
        <v>111.43825839224587</v>
      </c>
      <c r="G199" s="14">
        <f>+IF(B199&gt;$K$9,"",IF($D$8=Variables!$B$6,0.21*IPMT('Sim Reg N° 800'!$D$18,'Sim Reg N° 800'!B199,'Sim Reg N° 800'!$K$9,-'Sim Reg N° 800'!$J$10),0))+F199*0.21</f>
        <v>23.402034262371632</v>
      </c>
      <c r="H199" s="14">
        <f t="shared" si="16"/>
        <v>742.86266444567434</v>
      </c>
      <c r="I199" s="14">
        <f t="shared" si="14"/>
        <v>0</v>
      </c>
      <c r="J199" s="14">
        <f t="shared" si="15"/>
        <v>742.86266444567434</v>
      </c>
      <c r="K199" s="26">
        <f t="shared" si="17"/>
        <v>222.85879933370231</v>
      </c>
      <c r="L199" s="21"/>
      <c r="M199" s="19"/>
      <c r="R199" s="20"/>
    </row>
    <row r="200" spans="1:18" hidden="1" x14ac:dyDescent="0.2">
      <c r="A200" s="7"/>
      <c r="B200" s="42">
        <v>167</v>
      </c>
      <c r="C200" s="14">
        <f t="shared" si="13"/>
        <v>83406.527169292589</v>
      </c>
      <c r="D200" s="14">
        <f>IF(B200&gt;$K$9,"",IF($D$8=Variables!$B$3,PPMT($D$18,B200,$K$9,-$J$10),IF($D$8=Variables!$B$6,PPMT($D$18,B200,$K$9,-$J$10),IF($D$8=Variables!$B$5,PPMT($D$18,B200-12,$K$9-12,-$C$45),IF(AND($D$8=Variables!$B$4,$D$15="si"),0,PPMT($D$18,B200-18,$K$9-18,-$J$10-SUM($L$34:$L$51))))))+IF(AND($D$8=Variables!$B$4,'Sim Reg N° 800'!$D$15="SI"),PPMT($D$18,B200-24,$K$9-24,-$J$10-SUM($M$34:$M$57))))</f>
        <v>294.14485171228853</v>
      </c>
      <c r="E200" s="14">
        <f>IF(B200&gt;$K$9,"",IF($D$8=Variables!$B$3,IPMT($D$18,B200,$K$9,-$J$10),IF($D$8=Variables!$B$6,IPMT($D$18,B200,$K$9,-$J$10),IF($D$8=Variables!$B$5,IPMT($D$18,B200-12,$K$9-12,-$C$45),IF(AND($D$8=Variables!$B$4,$D$15="si"),0,IPMT($D$18,B200-18,$K$9-18,-$J$10-SUM($L$34:$L$51))))))+IF(AND($D$8=Variables!$B$4,'Sim Reg N° 800'!$D$15="SI"),IPMT($D$18,B200-24,$K$9-24,-$J$10-SUM($M$34:$M$57))))</f>
        <v>313.87752007876827</v>
      </c>
      <c r="F200" s="14">
        <f>IF(B200&gt;$K$9,"",IF(AND($D$8=Variables!$B$3,$D$12="SI",$D$19="NO",$D$13="SI",B200&gt;=7),(PMT(0.06/12,$K$9,-$C$33)-PMT(0.045/12,$K$9,-$C$33)),IF(AND($D$8=Variables!$B$5,$D$19="NO",$D$12="SI",$D$13="SI",B200&gt;12),(PMT(0.06/12,$K$9,-$C$45)-PMT(0.045/12,$K$9,-$C$45)),IF(AND($D$8=Variables!$B$4,$D$12="SI",$D$19="NO",$D$13="SI",$D$15="NO",B200&gt;18),(PMT(0.06/12,$K$9,-$C$51)-PMT(0.045/12,$K$9,-$C$51)),IF(AND($D$8=Variables!$B$4,$D$12="SI",$D$19="NO",$D$13="SI",$D$15="SI",B200&gt;24),(PMT(0.06/12,$K$9,-$C$57)-PMT(0.045/12,$K$9,-$C$57)),0)))))</f>
        <v>111.43825839224587</v>
      </c>
      <c r="G200" s="14">
        <f>+IF(B200&gt;$K$9,"",IF($D$8=Variables!$B$6,0.21*IPMT('Sim Reg N° 800'!$D$18,'Sim Reg N° 800'!B200,'Sim Reg N° 800'!$K$9,-'Sim Reg N° 800'!$J$10),0))+F200*0.21</f>
        <v>23.402034262371632</v>
      </c>
      <c r="H200" s="14">
        <f t="shared" si="16"/>
        <v>742.86266444567423</v>
      </c>
      <c r="I200" s="14">
        <f t="shared" si="14"/>
        <v>0</v>
      </c>
      <c r="J200" s="14">
        <f t="shared" si="15"/>
        <v>742.86266444567423</v>
      </c>
      <c r="K200" s="26">
        <f t="shared" si="17"/>
        <v>222.85879933370225</v>
      </c>
      <c r="L200" s="21"/>
      <c r="M200" s="19"/>
      <c r="R200" s="20"/>
    </row>
    <row r="201" spans="1:18" hidden="1" x14ac:dyDescent="0.2">
      <c r="A201" s="7"/>
      <c r="B201" s="42">
        <v>168</v>
      </c>
      <c r="C201" s="14">
        <f t="shared" si="13"/>
        <v>83111.279274386383</v>
      </c>
      <c r="D201" s="14">
        <f>IF(B201&gt;$K$9,"",IF($D$8=Variables!$B$3,PPMT($D$18,B201,$K$9,-$J$10),IF($D$8=Variables!$B$6,PPMT($D$18,B201,$K$9,-$J$10),IF($D$8=Variables!$B$5,PPMT($D$18,B201-12,$K$9-12,-$C$45),IF(AND($D$8=Variables!$B$4,$D$15="si"),0,PPMT($D$18,B201-18,$K$9-18,-$J$10-SUM($L$34:$L$51))))))+IF(AND($D$8=Variables!$B$4,'Sim Reg N° 800'!$D$15="SI"),PPMT($D$18,B201-24,$K$9-24,-$J$10-SUM($M$34:$M$57))))</f>
        <v>295.24789490620958</v>
      </c>
      <c r="E201" s="14">
        <f>IF(B201&gt;$K$9,"",IF($D$8=Variables!$B$3,IPMT($D$18,B201,$K$9,-$J$10),IF($D$8=Variables!$B$6,IPMT($D$18,B201,$K$9,-$J$10),IF($D$8=Variables!$B$5,IPMT($D$18,B201-12,$K$9-12,-$C$45),IF(AND($D$8=Variables!$B$4,$D$15="si"),0,IPMT($D$18,B201-18,$K$9-18,-$J$10-SUM($L$34:$L$51))))))+IF(AND($D$8=Variables!$B$4,'Sim Reg N° 800'!$D$15="SI"),IPMT($D$18,B201-24,$K$9-24,-$J$10-SUM($M$34:$M$57))))</f>
        <v>312.77447688484727</v>
      </c>
      <c r="F201" s="14">
        <f>IF(B201&gt;$K$9,"",IF(AND($D$8=Variables!$B$3,$D$12="SI",$D$19="NO",$D$13="SI",B201&gt;=7),(PMT(0.06/12,$K$9,-$C$33)-PMT(0.045/12,$K$9,-$C$33)),IF(AND($D$8=Variables!$B$5,$D$19="NO",$D$12="SI",$D$13="SI",B201&gt;12),(PMT(0.06/12,$K$9,-$C$45)-PMT(0.045/12,$K$9,-$C$45)),IF(AND($D$8=Variables!$B$4,$D$12="SI",$D$19="NO",$D$13="SI",$D$15="NO",B201&gt;18),(PMT(0.06/12,$K$9,-$C$51)-PMT(0.045/12,$K$9,-$C$51)),IF(AND($D$8=Variables!$B$4,$D$12="SI",$D$19="NO",$D$13="SI",$D$15="SI",B201&gt;24),(PMT(0.06/12,$K$9,-$C$57)-PMT(0.045/12,$K$9,-$C$57)),0)))))</f>
        <v>111.43825839224587</v>
      </c>
      <c r="G201" s="14">
        <f>+IF(B201&gt;$K$9,"",IF($D$8=Variables!$B$6,0.21*IPMT('Sim Reg N° 800'!$D$18,'Sim Reg N° 800'!B201,'Sim Reg N° 800'!$K$9,-'Sim Reg N° 800'!$J$10),0))+F201*0.21</f>
        <v>23.402034262371632</v>
      </c>
      <c r="H201" s="14">
        <f t="shared" si="16"/>
        <v>742.86266444567434</v>
      </c>
      <c r="I201" s="14">
        <f t="shared" si="14"/>
        <v>0</v>
      </c>
      <c r="J201" s="14">
        <f t="shared" si="15"/>
        <v>742.86266444567434</v>
      </c>
      <c r="K201" s="26">
        <f t="shared" si="17"/>
        <v>222.85879933370231</v>
      </c>
      <c r="L201" s="21"/>
      <c r="M201" s="19"/>
      <c r="R201" s="20"/>
    </row>
    <row r="202" spans="1:18" hidden="1" x14ac:dyDescent="0.2">
      <c r="A202" s="7"/>
      <c r="B202" s="42">
        <v>169</v>
      </c>
      <c r="C202" s="14">
        <f t="shared" si="13"/>
        <v>82814.92419987428</v>
      </c>
      <c r="D202" s="14">
        <f>IF(B202&gt;$K$9,"",IF($D$8=Variables!$B$3,PPMT($D$18,B202,$K$9,-$J$10),IF($D$8=Variables!$B$6,PPMT($D$18,B202,$K$9,-$J$10),IF($D$8=Variables!$B$5,PPMT($D$18,B202-12,$K$9-12,-$C$45),IF(AND($D$8=Variables!$B$4,$D$15="si"),0,PPMT($D$18,B202-18,$K$9-18,-$J$10-SUM($L$34:$L$51))))))+IF(AND($D$8=Variables!$B$4,'Sim Reg N° 800'!$D$15="SI"),PPMT($D$18,B202-24,$K$9-24,-$J$10-SUM($M$34:$M$57))))</f>
        <v>296.35507451210793</v>
      </c>
      <c r="E202" s="14">
        <f>IF(B202&gt;$K$9,"",IF($D$8=Variables!$B$3,IPMT($D$18,B202,$K$9,-$J$10),IF($D$8=Variables!$B$6,IPMT($D$18,B202,$K$9,-$J$10),IF($D$8=Variables!$B$5,IPMT($D$18,B202-12,$K$9-12,-$C$45),IF(AND($D$8=Variables!$B$4,$D$15="si"),0,IPMT($D$18,B202-18,$K$9-18,-$J$10-SUM($L$34:$L$51))))))+IF(AND($D$8=Variables!$B$4,'Sim Reg N° 800'!$D$15="SI"),IPMT($D$18,B202-24,$K$9-24,-$J$10-SUM($M$34:$M$57))))</f>
        <v>311.66729727894892</v>
      </c>
      <c r="F202" s="14">
        <f>IF(B202&gt;$K$9,"",IF(AND($D$8=Variables!$B$3,$D$12="SI",$D$19="NO",$D$13="SI",B202&gt;=7),(PMT(0.06/12,$K$9,-$C$33)-PMT(0.045/12,$K$9,-$C$33)),IF(AND($D$8=Variables!$B$5,$D$19="NO",$D$12="SI",$D$13="SI",B202&gt;12),(PMT(0.06/12,$K$9,-$C$45)-PMT(0.045/12,$K$9,-$C$45)),IF(AND($D$8=Variables!$B$4,$D$12="SI",$D$19="NO",$D$13="SI",$D$15="NO",B202&gt;18),(PMT(0.06/12,$K$9,-$C$51)-PMT(0.045/12,$K$9,-$C$51)),IF(AND($D$8=Variables!$B$4,$D$12="SI",$D$19="NO",$D$13="SI",$D$15="SI",B202&gt;24),(PMT(0.06/12,$K$9,-$C$57)-PMT(0.045/12,$K$9,-$C$57)),0)))))</f>
        <v>111.43825839224587</v>
      </c>
      <c r="G202" s="14">
        <f>+IF(B202&gt;$K$9,"",IF($D$8=Variables!$B$6,0.21*IPMT('Sim Reg N° 800'!$D$18,'Sim Reg N° 800'!B202,'Sim Reg N° 800'!$K$9,-'Sim Reg N° 800'!$J$10),0))+F202*0.21</f>
        <v>23.402034262371632</v>
      </c>
      <c r="H202" s="14">
        <f t="shared" si="16"/>
        <v>742.86266444567434</v>
      </c>
      <c r="I202" s="14">
        <f t="shared" si="14"/>
        <v>95.999999999999986</v>
      </c>
      <c r="J202" s="14">
        <f t="shared" si="15"/>
        <v>838.86266444567434</v>
      </c>
      <c r="K202" s="26">
        <f t="shared" si="17"/>
        <v>251.65879933370229</v>
      </c>
      <c r="L202" s="21"/>
      <c r="M202" s="19"/>
      <c r="R202" s="20"/>
    </row>
    <row r="203" spans="1:18" hidden="1" x14ac:dyDescent="0.2">
      <c r="A203" s="7"/>
      <c r="B203" s="42">
        <v>170</v>
      </c>
      <c r="C203" s="14">
        <f t="shared" si="13"/>
        <v>82517.457793832757</v>
      </c>
      <c r="D203" s="14">
        <f>IF(B203&gt;$K$9,"",IF($D$8=Variables!$B$3,PPMT($D$18,B203,$K$9,-$J$10),IF($D$8=Variables!$B$6,PPMT($D$18,B203,$K$9,-$J$10),IF($D$8=Variables!$B$5,PPMT($D$18,B203-12,$K$9-12,-$C$45),IF(AND($D$8=Variables!$B$4,$D$15="si"),0,PPMT($D$18,B203-18,$K$9-18,-$J$10-SUM($L$34:$L$51))))))+IF(AND($D$8=Variables!$B$4,'Sim Reg N° 800'!$D$15="SI"),PPMT($D$18,B203-24,$K$9-24,-$J$10-SUM($M$34:$M$57))))</f>
        <v>297.46640604152833</v>
      </c>
      <c r="E203" s="14">
        <f>IF(B203&gt;$K$9,"",IF($D$8=Variables!$B$3,IPMT($D$18,B203,$K$9,-$J$10),IF($D$8=Variables!$B$6,IPMT($D$18,B203,$K$9,-$J$10),IF($D$8=Variables!$B$5,IPMT($D$18,B203-12,$K$9-12,-$C$45),IF(AND($D$8=Variables!$B$4,$D$15="si"),0,IPMT($D$18,B203-18,$K$9-18,-$J$10-SUM($L$34:$L$51))))))+IF(AND($D$8=Variables!$B$4,'Sim Reg N° 800'!$D$15="SI"),IPMT($D$18,B203-24,$K$9-24,-$J$10-SUM($M$34:$M$57))))</f>
        <v>310.55596574952853</v>
      </c>
      <c r="F203" s="14">
        <f>IF(B203&gt;$K$9,"",IF(AND($D$8=Variables!$B$3,$D$12="SI",$D$19="NO",$D$13="SI",B203&gt;=7),(PMT(0.06/12,$K$9,-$C$33)-PMT(0.045/12,$K$9,-$C$33)),IF(AND($D$8=Variables!$B$5,$D$19="NO",$D$12="SI",$D$13="SI",B203&gt;12),(PMT(0.06/12,$K$9,-$C$45)-PMT(0.045/12,$K$9,-$C$45)),IF(AND($D$8=Variables!$B$4,$D$12="SI",$D$19="NO",$D$13="SI",$D$15="NO",B203&gt;18),(PMT(0.06/12,$K$9,-$C$51)-PMT(0.045/12,$K$9,-$C$51)),IF(AND($D$8=Variables!$B$4,$D$12="SI",$D$19="NO",$D$13="SI",$D$15="SI",B203&gt;24),(PMT(0.06/12,$K$9,-$C$57)-PMT(0.045/12,$K$9,-$C$57)),0)))))</f>
        <v>111.43825839224587</v>
      </c>
      <c r="G203" s="14">
        <f>+IF(B203&gt;$K$9,"",IF($D$8=Variables!$B$6,0.21*IPMT('Sim Reg N° 800'!$D$18,'Sim Reg N° 800'!B203,'Sim Reg N° 800'!$K$9,-'Sim Reg N° 800'!$J$10),0))+F203*0.21</f>
        <v>23.402034262371632</v>
      </c>
      <c r="H203" s="14">
        <f t="shared" si="16"/>
        <v>742.86266444567434</v>
      </c>
      <c r="I203" s="14">
        <f t="shared" si="14"/>
        <v>0</v>
      </c>
      <c r="J203" s="14">
        <f t="shared" si="15"/>
        <v>742.86266444567434</v>
      </c>
      <c r="K203" s="26">
        <f t="shared" si="17"/>
        <v>222.85879933370231</v>
      </c>
      <c r="L203" s="21"/>
      <c r="M203" s="19"/>
      <c r="R203" s="20"/>
    </row>
    <row r="204" spans="1:18" hidden="1" x14ac:dyDescent="0.2">
      <c r="A204" s="7"/>
      <c r="B204" s="42">
        <v>171</v>
      </c>
      <c r="C204" s="14">
        <f t="shared" si="13"/>
        <v>82218.875888768569</v>
      </c>
      <c r="D204" s="14">
        <f>IF(B204&gt;$K$9,"",IF($D$8=Variables!$B$3,PPMT($D$18,B204,$K$9,-$J$10),IF($D$8=Variables!$B$6,PPMT($D$18,B204,$K$9,-$J$10),IF($D$8=Variables!$B$5,PPMT($D$18,B204-12,$K$9-12,-$C$45),IF(AND($D$8=Variables!$B$4,$D$15="si"),0,PPMT($D$18,B204-18,$K$9-18,-$J$10-SUM($L$34:$L$51))))))+IF(AND($D$8=Variables!$B$4,'Sim Reg N° 800'!$D$15="SI"),PPMT($D$18,B204-24,$K$9-24,-$J$10-SUM($M$34:$M$57))))</f>
        <v>298.58190506418401</v>
      </c>
      <c r="E204" s="14">
        <f>IF(B204&gt;$K$9,"",IF($D$8=Variables!$B$3,IPMT($D$18,B204,$K$9,-$J$10),IF($D$8=Variables!$B$6,IPMT($D$18,B204,$K$9,-$J$10),IF($D$8=Variables!$B$5,IPMT($D$18,B204-12,$K$9-12,-$C$45),IF(AND($D$8=Variables!$B$4,$D$15="si"),0,IPMT($D$18,B204-18,$K$9-18,-$J$10-SUM($L$34:$L$51))))))+IF(AND($D$8=Variables!$B$4,'Sim Reg N° 800'!$D$15="SI"),IPMT($D$18,B204-24,$K$9-24,-$J$10-SUM($M$34:$M$57))))</f>
        <v>309.44046672687284</v>
      </c>
      <c r="F204" s="14">
        <f>IF(B204&gt;$K$9,"",IF(AND($D$8=Variables!$B$3,$D$12="SI",$D$19="NO",$D$13="SI",B204&gt;=7),(PMT(0.06/12,$K$9,-$C$33)-PMT(0.045/12,$K$9,-$C$33)),IF(AND($D$8=Variables!$B$5,$D$19="NO",$D$12="SI",$D$13="SI",B204&gt;12),(PMT(0.06/12,$K$9,-$C$45)-PMT(0.045/12,$K$9,-$C$45)),IF(AND($D$8=Variables!$B$4,$D$12="SI",$D$19="NO",$D$13="SI",$D$15="NO",B204&gt;18),(PMT(0.06/12,$K$9,-$C$51)-PMT(0.045/12,$K$9,-$C$51)),IF(AND($D$8=Variables!$B$4,$D$12="SI",$D$19="NO",$D$13="SI",$D$15="SI",B204&gt;24),(PMT(0.06/12,$K$9,-$C$57)-PMT(0.045/12,$K$9,-$C$57)),0)))))</f>
        <v>111.43825839224587</v>
      </c>
      <c r="G204" s="14">
        <f>+IF(B204&gt;$K$9,"",IF($D$8=Variables!$B$6,0.21*IPMT('Sim Reg N° 800'!$D$18,'Sim Reg N° 800'!B204,'Sim Reg N° 800'!$K$9,-'Sim Reg N° 800'!$J$10),0))+F204*0.21</f>
        <v>23.402034262371632</v>
      </c>
      <c r="H204" s="14">
        <f t="shared" si="16"/>
        <v>742.86266444567434</v>
      </c>
      <c r="I204" s="14">
        <f t="shared" si="14"/>
        <v>0</v>
      </c>
      <c r="J204" s="14">
        <f t="shared" si="15"/>
        <v>742.86266444567434</v>
      </c>
      <c r="K204" s="26">
        <f t="shared" si="17"/>
        <v>222.85879933370231</v>
      </c>
      <c r="L204" s="21"/>
      <c r="M204" s="19"/>
      <c r="R204" s="20"/>
    </row>
    <row r="205" spans="1:18" hidden="1" x14ac:dyDescent="0.2">
      <c r="A205" s="7"/>
      <c r="B205" s="42">
        <v>172</v>
      </c>
      <c r="C205" s="14">
        <f t="shared" si="13"/>
        <v>81919.174301560401</v>
      </c>
      <c r="D205" s="14">
        <f>IF(B205&gt;$K$9,"",IF($D$8=Variables!$B$3,PPMT($D$18,B205,$K$9,-$J$10),IF($D$8=Variables!$B$6,PPMT($D$18,B205,$K$9,-$J$10),IF($D$8=Variables!$B$5,PPMT($D$18,B205-12,$K$9-12,-$C$45),IF(AND($D$8=Variables!$B$4,$D$15="si"),0,PPMT($D$18,B205-18,$K$9-18,-$J$10-SUM($L$34:$L$51))))))+IF(AND($D$8=Variables!$B$4,'Sim Reg N° 800'!$D$15="SI"),PPMT($D$18,B205-24,$K$9-24,-$J$10-SUM($M$34:$M$57))))</f>
        <v>299.70158720817471</v>
      </c>
      <c r="E205" s="14">
        <f>IF(B205&gt;$K$9,"",IF($D$8=Variables!$B$3,IPMT($D$18,B205,$K$9,-$J$10),IF($D$8=Variables!$B$6,IPMT($D$18,B205,$K$9,-$J$10),IF($D$8=Variables!$B$5,IPMT($D$18,B205-12,$K$9-12,-$C$45),IF(AND($D$8=Variables!$B$4,$D$15="si"),0,IPMT($D$18,B205-18,$K$9-18,-$J$10-SUM($L$34:$L$51))))))+IF(AND($D$8=Variables!$B$4,'Sim Reg N° 800'!$D$15="SI"),IPMT($D$18,B205-24,$K$9-24,-$J$10-SUM($M$34:$M$57))))</f>
        <v>308.32078458288214</v>
      </c>
      <c r="F205" s="14">
        <f>IF(B205&gt;$K$9,"",IF(AND($D$8=Variables!$B$3,$D$12="SI",$D$19="NO",$D$13="SI",B205&gt;=7),(PMT(0.06/12,$K$9,-$C$33)-PMT(0.045/12,$K$9,-$C$33)),IF(AND($D$8=Variables!$B$5,$D$19="NO",$D$12="SI",$D$13="SI",B205&gt;12),(PMT(0.06/12,$K$9,-$C$45)-PMT(0.045/12,$K$9,-$C$45)),IF(AND($D$8=Variables!$B$4,$D$12="SI",$D$19="NO",$D$13="SI",$D$15="NO",B205&gt;18),(PMT(0.06/12,$K$9,-$C$51)-PMT(0.045/12,$K$9,-$C$51)),IF(AND($D$8=Variables!$B$4,$D$12="SI",$D$19="NO",$D$13="SI",$D$15="SI",B205&gt;24),(PMT(0.06/12,$K$9,-$C$57)-PMT(0.045/12,$K$9,-$C$57)),0)))))</f>
        <v>111.43825839224587</v>
      </c>
      <c r="G205" s="14">
        <f>+IF(B205&gt;$K$9,"",IF($D$8=Variables!$B$6,0.21*IPMT('Sim Reg N° 800'!$D$18,'Sim Reg N° 800'!B205,'Sim Reg N° 800'!$K$9,-'Sim Reg N° 800'!$J$10),0))+F205*0.21</f>
        <v>23.402034262371632</v>
      </c>
      <c r="H205" s="14">
        <f t="shared" si="16"/>
        <v>742.86266444567434</v>
      </c>
      <c r="I205" s="14">
        <f t="shared" si="14"/>
        <v>0</v>
      </c>
      <c r="J205" s="14">
        <f t="shared" si="15"/>
        <v>742.86266444567434</v>
      </c>
      <c r="K205" s="26">
        <f t="shared" si="17"/>
        <v>222.85879933370231</v>
      </c>
      <c r="L205" s="21"/>
      <c r="M205" s="19"/>
      <c r="R205" s="20"/>
    </row>
    <row r="206" spans="1:18" hidden="1" x14ac:dyDescent="0.2">
      <c r="A206" s="7"/>
      <c r="B206" s="42">
        <v>173</v>
      </c>
      <c r="C206" s="14">
        <f t="shared" si="13"/>
        <v>81618.348833400189</v>
      </c>
      <c r="D206" s="14">
        <f>IF(B206&gt;$K$9,"",IF($D$8=Variables!$B$3,PPMT($D$18,B206,$K$9,-$J$10),IF($D$8=Variables!$B$6,PPMT($D$18,B206,$K$9,-$J$10),IF($D$8=Variables!$B$5,PPMT($D$18,B206-12,$K$9-12,-$C$45),IF(AND($D$8=Variables!$B$4,$D$15="si"),0,PPMT($D$18,B206-18,$K$9-18,-$J$10-SUM($L$34:$L$51))))))+IF(AND($D$8=Variables!$B$4,'Sim Reg N° 800'!$D$15="SI"),PPMT($D$18,B206-24,$K$9-24,-$J$10-SUM($M$34:$M$57))))</f>
        <v>300.82546816020533</v>
      </c>
      <c r="E206" s="14">
        <f>IF(B206&gt;$K$9,"",IF($D$8=Variables!$B$3,IPMT($D$18,B206,$K$9,-$J$10),IF($D$8=Variables!$B$6,IPMT($D$18,B206,$K$9,-$J$10),IF($D$8=Variables!$B$5,IPMT($D$18,B206-12,$K$9-12,-$C$45),IF(AND($D$8=Variables!$B$4,$D$15="si"),0,IPMT($D$18,B206-18,$K$9-18,-$J$10-SUM($L$34:$L$51))))))+IF(AND($D$8=Variables!$B$4,'Sim Reg N° 800'!$D$15="SI"),IPMT($D$18,B206-24,$K$9-24,-$J$10-SUM($M$34:$M$57))))</f>
        <v>307.19690363085147</v>
      </c>
      <c r="F206" s="14">
        <f>IF(B206&gt;$K$9,"",IF(AND($D$8=Variables!$B$3,$D$12="SI",$D$19="NO",$D$13="SI",B206&gt;=7),(PMT(0.06/12,$K$9,-$C$33)-PMT(0.045/12,$K$9,-$C$33)),IF(AND($D$8=Variables!$B$5,$D$19="NO",$D$12="SI",$D$13="SI",B206&gt;12),(PMT(0.06/12,$K$9,-$C$45)-PMT(0.045/12,$K$9,-$C$45)),IF(AND($D$8=Variables!$B$4,$D$12="SI",$D$19="NO",$D$13="SI",$D$15="NO",B206&gt;18),(PMT(0.06/12,$K$9,-$C$51)-PMT(0.045/12,$K$9,-$C$51)),IF(AND($D$8=Variables!$B$4,$D$12="SI",$D$19="NO",$D$13="SI",$D$15="SI",B206&gt;24),(PMT(0.06/12,$K$9,-$C$57)-PMT(0.045/12,$K$9,-$C$57)),0)))))</f>
        <v>111.43825839224587</v>
      </c>
      <c r="G206" s="14">
        <f>+IF(B206&gt;$K$9,"",IF($D$8=Variables!$B$6,0.21*IPMT('Sim Reg N° 800'!$D$18,'Sim Reg N° 800'!B206,'Sim Reg N° 800'!$K$9,-'Sim Reg N° 800'!$J$10),0))+F206*0.21</f>
        <v>23.402034262371632</v>
      </c>
      <c r="H206" s="14">
        <f t="shared" si="16"/>
        <v>742.86266444567423</v>
      </c>
      <c r="I206" s="14">
        <f t="shared" si="14"/>
        <v>0</v>
      </c>
      <c r="J206" s="14">
        <f t="shared" si="15"/>
        <v>742.86266444567423</v>
      </c>
      <c r="K206" s="26">
        <f t="shared" si="17"/>
        <v>222.85879933370225</v>
      </c>
      <c r="L206" s="21"/>
      <c r="M206" s="19"/>
      <c r="R206" s="20"/>
    </row>
    <row r="207" spans="1:18" hidden="1" x14ac:dyDescent="0.2">
      <c r="A207" s="7"/>
      <c r="B207" s="42">
        <v>174</v>
      </c>
      <c r="C207" s="14">
        <f t="shared" si="13"/>
        <v>81316.395269734378</v>
      </c>
      <c r="D207" s="14">
        <f>IF(B207&gt;$K$9,"",IF($D$8=Variables!$B$3,PPMT($D$18,B207,$K$9,-$J$10),IF($D$8=Variables!$B$6,PPMT($D$18,B207,$K$9,-$J$10),IF($D$8=Variables!$B$5,PPMT($D$18,B207-12,$K$9-12,-$C$45),IF(AND($D$8=Variables!$B$4,$D$15="si"),0,PPMT($D$18,B207-18,$K$9-18,-$J$10-SUM($L$34:$L$51))))))+IF(AND($D$8=Variables!$B$4,'Sim Reg N° 800'!$D$15="SI"),PPMT($D$18,B207-24,$K$9-24,-$J$10-SUM($M$34:$M$57))))</f>
        <v>301.95356366580614</v>
      </c>
      <c r="E207" s="14">
        <f>IF(B207&gt;$K$9,"",IF($D$8=Variables!$B$3,IPMT($D$18,B207,$K$9,-$J$10),IF($D$8=Variables!$B$6,IPMT($D$18,B207,$K$9,-$J$10),IF($D$8=Variables!$B$5,IPMT($D$18,B207-12,$K$9-12,-$C$45),IF(AND($D$8=Variables!$B$4,$D$15="si"),0,IPMT($D$18,B207-18,$K$9-18,-$J$10-SUM($L$34:$L$51))))))+IF(AND($D$8=Variables!$B$4,'Sim Reg N° 800'!$D$15="SI"),IPMT($D$18,B207-24,$K$9-24,-$J$10-SUM($M$34:$M$57))))</f>
        <v>306.06880812525071</v>
      </c>
      <c r="F207" s="14">
        <f>IF(B207&gt;$K$9,"",IF(AND($D$8=Variables!$B$3,$D$12="SI",$D$19="NO",$D$13="SI",B207&gt;=7),(PMT(0.06/12,$K$9,-$C$33)-PMT(0.045/12,$K$9,-$C$33)),IF(AND($D$8=Variables!$B$5,$D$19="NO",$D$12="SI",$D$13="SI",B207&gt;12),(PMT(0.06/12,$K$9,-$C$45)-PMT(0.045/12,$K$9,-$C$45)),IF(AND($D$8=Variables!$B$4,$D$12="SI",$D$19="NO",$D$13="SI",$D$15="NO",B207&gt;18),(PMT(0.06/12,$K$9,-$C$51)-PMT(0.045/12,$K$9,-$C$51)),IF(AND($D$8=Variables!$B$4,$D$12="SI",$D$19="NO",$D$13="SI",$D$15="SI",B207&gt;24),(PMT(0.06/12,$K$9,-$C$57)-PMT(0.045/12,$K$9,-$C$57)),0)))))</f>
        <v>111.43825839224587</v>
      </c>
      <c r="G207" s="14">
        <f>+IF(B207&gt;$K$9,"",IF($D$8=Variables!$B$6,0.21*IPMT('Sim Reg N° 800'!$D$18,'Sim Reg N° 800'!B207,'Sim Reg N° 800'!$K$9,-'Sim Reg N° 800'!$J$10),0))+F207*0.21</f>
        <v>23.402034262371632</v>
      </c>
      <c r="H207" s="14">
        <f t="shared" si="16"/>
        <v>742.86266444567434</v>
      </c>
      <c r="I207" s="14">
        <f t="shared" si="14"/>
        <v>0</v>
      </c>
      <c r="J207" s="14">
        <f t="shared" si="15"/>
        <v>742.86266444567434</v>
      </c>
      <c r="K207" s="26">
        <f t="shared" si="17"/>
        <v>222.85879933370231</v>
      </c>
      <c r="L207" s="21"/>
      <c r="M207" s="19"/>
      <c r="R207" s="20"/>
    </row>
    <row r="208" spans="1:18" hidden="1" x14ac:dyDescent="0.2">
      <c r="A208" s="7"/>
      <c r="B208" s="42">
        <v>175</v>
      </c>
      <c r="C208" s="14">
        <f t="shared" si="13"/>
        <v>81013.309380204824</v>
      </c>
      <c r="D208" s="14">
        <f>IF(B208&gt;$K$9,"",IF($D$8=Variables!$B$3,PPMT($D$18,B208,$K$9,-$J$10),IF($D$8=Variables!$B$6,PPMT($D$18,B208,$K$9,-$J$10),IF($D$8=Variables!$B$5,PPMT($D$18,B208-12,$K$9-12,-$C$45),IF(AND($D$8=Variables!$B$4,$D$15="si"),0,PPMT($D$18,B208-18,$K$9-18,-$J$10-SUM($L$34:$L$51))))))+IF(AND($D$8=Variables!$B$4,'Sim Reg N° 800'!$D$15="SI"),PPMT($D$18,B208-24,$K$9-24,-$J$10-SUM($M$34:$M$57))))</f>
        <v>303.08588952955296</v>
      </c>
      <c r="E208" s="14">
        <f>IF(B208&gt;$K$9,"",IF($D$8=Variables!$B$3,IPMT($D$18,B208,$K$9,-$J$10),IF($D$8=Variables!$B$6,IPMT($D$18,B208,$K$9,-$J$10),IF($D$8=Variables!$B$5,IPMT($D$18,B208-12,$K$9-12,-$C$45),IF(AND($D$8=Variables!$B$4,$D$15="si"),0,IPMT($D$18,B208-18,$K$9-18,-$J$10-SUM($L$34:$L$51))))))+IF(AND($D$8=Variables!$B$4,'Sim Reg N° 800'!$D$15="SI"),IPMT($D$18,B208-24,$K$9-24,-$J$10-SUM($M$34:$M$57))))</f>
        <v>304.9364822615039</v>
      </c>
      <c r="F208" s="14">
        <f>IF(B208&gt;$K$9,"",IF(AND($D$8=Variables!$B$3,$D$12="SI",$D$19="NO",$D$13="SI",B208&gt;=7),(PMT(0.06/12,$K$9,-$C$33)-PMT(0.045/12,$K$9,-$C$33)),IF(AND($D$8=Variables!$B$5,$D$19="NO",$D$12="SI",$D$13="SI",B208&gt;12),(PMT(0.06/12,$K$9,-$C$45)-PMT(0.045/12,$K$9,-$C$45)),IF(AND($D$8=Variables!$B$4,$D$12="SI",$D$19="NO",$D$13="SI",$D$15="NO",B208&gt;18),(PMT(0.06/12,$K$9,-$C$51)-PMT(0.045/12,$K$9,-$C$51)),IF(AND($D$8=Variables!$B$4,$D$12="SI",$D$19="NO",$D$13="SI",$D$15="SI",B208&gt;24),(PMT(0.06/12,$K$9,-$C$57)-PMT(0.045/12,$K$9,-$C$57)),0)))))</f>
        <v>111.43825839224587</v>
      </c>
      <c r="G208" s="14">
        <f>+IF(B208&gt;$K$9,"",IF($D$8=Variables!$B$6,0.21*IPMT('Sim Reg N° 800'!$D$18,'Sim Reg N° 800'!B208,'Sim Reg N° 800'!$K$9,-'Sim Reg N° 800'!$J$10),0))+F208*0.21</f>
        <v>23.402034262371632</v>
      </c>
      <c r="H208" s="14">
        <f t="shared" si="16"/>
        <v>742.86266444567434</v>
      </c>
      <c r="I208" s="14">
        <f t="shared" si="14"/>
        <v>0</v>
      </c>
      <c r="J208" s="14">
        <f t="shared" si="15"/>
        <v>742.86266444567434</v>
      </c>
      <c r="K208" s="26">
        <f t="shared" si="17"/>
        <v>222.85879933370231</v>
      </c>
      <c r="L208" s="21"/>
      <c r="M208" s="19"/>
      <c r="R208" s="20"/>
    </row>
    <row r="209" spans="1:18" hidden="1" x14ac:dyDescent="0.2">
      <c r="A209" s="7"/>
      <c r="B209" s="42">
        <v>176</v>
      </c>
      <c r="C209" s="14">
        <f t="shared" si="13"/>
        <v>80709.086918589543</v>
      </c>
      <c r="D209" s="14">
        <f>IF(B209&gt;$K$9,"",IF($D$8=Variables!$B$3,PPMT($D$18,B209,$K$9,-$J$10),IF($D$8=Variables!$B$6,PPMT($D$18,B209,$K$9,-$J$10),IF($D$8=Variables!$B$5,PPMT($D$18,B209-12,$K$9-12,-$C$45),IF(AND($D$8=Variables!$B$4,$D$15="si"),0,PPMT($D$18,B209-18,$K$9-18,-$J$10-SUM($L$34:$L$51))))))+IF(AND($D$8=Variables!$B$4,'Sim Reg N° 800'!$D$15="SI"),PPMT($D$18,B209-24,$K$9-24,-$J$10-SUM($M$34:$M$57))))</f>
        <v>304.22246161528869</v>
      </c>
      <c r="E209" s="14">
        <f>IF(B209&gt;$K$9,"",IF($D$8=Variables!$B$3,IPMT($D$18,B209,$K$9,-$J$10),IF($D$8=Variables!$B$6,IPMT($D$18,B209,$K$9,-$J$10),IF($D$8=Variables!$B$5,IPMT($D$18,B209-12,$K$9-12,-$C$45),IF(AND($D$8=Variables!$B$4,$D$15="si"),0,IPMT($D$18,B209-18,$K$9-18,-$J$10-SUM($L$34:$L$51))))))+IF(AND($D$8=Variables!$B$4,'Sim Reg N° 800'!$D$15="SI"),IPMT($D$18,B209-24,$K$9-24,-$J$10-SUM($M$34:$M$57))))</f>
        <v>303.79991017576805</v>
      </c>
      <c r="F209" s="14">
        <f>IF(B209&gt;$K$9,"",IF(AND($D$8=Variables!$B$3,$D$12="SI",$D$19="NO",$D$13="SI",B209&gt;=7),(PMT(0.06/12,$K$9,-$C$33)-PMT(0.045/12,$K$9,-$C$33)),IF(AND($D$8=Variables!$B$5,$D$19="NO",$D$12="SI",$D$13="SI",B209&gt;12),(PMT(0.06/12,$K$9,-$C$45)-PMT(0.045/12,$K$9,-$C$45)),IF(AND($D$8=Variables!$B$4,$D$12="SI",$D$19="NO",$D$13="SI",$D$15="NO",B209&gt;18),(PMT(0.06/12,$K$9,-$C$51)-PMT(0.045/12,$K$9,-$C$51)),IF(AND($D$8=Variables!$B$4,$D$12="SI",$D$19="NO",$D$13="SI",$D$15="SI",B209&gt;24),(PMT(0.06/12,$K$9,-$C$57)-PMT(0.045/12,$K$9,-$C$57)),0)))))</f>
        <v>111.43825839224587</v>
      </c>
      <c r="G209" s="14">
        <f>+IF(B209&gt;$K$9,"",IF($D$8=Variables!$B$6,0.21*IPMT('Sim Reg N° 800'!$D$18,'Sim Reg N° 800'!B209,'Sim Reg N° 800'!$K$9,-'Sim Reg N° 800'!$J$10),0))+F209*0.21</f>
        <v>23.402034262371632</v>
      </c>
      <c r="H209" s="14">
        <f t="shared" si="16"/>
        <v>742.86266444567423</v>
      </c>
      <c r="I209" s="14">
        <f t="shared" si="14"/>
        <v>0</v>
      </c>
      <c r="J209" s="14">
        <f t="shared" si="15"/>
        <v>742.86266444567423</v>
      </c>
      <c r="K209" s="26">
        <f t="shared" si="17"/>
        <v>222.85879933370225</v>
      </c>
      <c r="L209" s="21"/>
      <c r="M209" s="19"/>
      <c r="R209" s="20"/>
    </row>
    <row r="210" spans="1:18" hidden="1" x14ac:dyDescent="0.2">
      <c r="A210" s="7"/>
      <c r="B210" s="42">
        <v>177</v>
      </c>
      <c r="C210" s="14">
        <f t="shared" si="13"/>
        <v>80403.7236227432</v>
      </c>
      <c r="D210" s="14">
        <f>IF(B210&gt;$K$9,"",IF($D$8=Variables!$B$3,PPMT($D$18,B210,$K$9,-$J$10),IF($D$8=Variables!$B$6,PPMT($D$18,B210,$K$9,-$J$10),IF($D$8=Variables!$B$5,PPMT($D$18,B210-12,$K$9-12,-$C$45),IF(AND($D$8=Variables!$B$4,$D$15="si"),0,PPMT($D$18,B210-18,$K$9-18,-$J$10-SUM($L$34:$L$51))))))+IF(AND($D$8=Variables!$B$4,'Sim Reg N° 800'!$D$15="SI"),PPMT($D$18,B210-24,$K$9-24,-$J$10-SUM($M$34:$M$57))))</f>
        <v>305.36329584634603</v>
      </c>
      <c r="E210" s="14">
        <f>IF(B210&gt;$K$9,"",IF($D$8=Variables!$B$3,IPMT($D$18,B210,$K$9,-$J$10),IF($D$8=Variables!$B$6,IPMT($D$18,B210,$K$9,-$J$10),IF($D$8=Variables!$B$5,IPMT($D$18,B210-12,$K$9-12,-$C$45),IF(AND($D$8=Variables!$B$4,$D$15="si"),0,IPMT($D$18,B210-18,$K$9-18,-$J$10-SUM($L$34:$L$51))))))+IF(AND($D$8=Variables!$B$4,'Sim Reg N° 800'!$D$15="SI"),IPMT($D$18,B210-24,$K$9-24,-$J$10-SUM($M$34:$M$57))))</f>
        <v>302.65907594471071</v>
      </c>
      <c r="F210" s="14">
        <f>IF(B210&gt;$K$9,"",IF(AND($D$8=Variables!$B$3,$D$12="SI",$D$19="NO",$D$13="SI",B210&gt;=7),(PMT(0.06/12,$K$9,-$C$33)-PMT(0.045/12,$K$9,-$C$33)),IF(AND($D$8=Variables!$B$5,$D$19="NO",$D$12="SI",$D$13="SI",B210&gt;12),(PMT(0.06/12,$K$9,-$C$45)-PMT(0.045/12,$K$9,-$C$45)),IF(AND($D$8=Variables!$B$4,$D$12="SI",$D$19="NO",$D$13="SI",$D$15="NO",B210&gt;18),(PMT(0.06/12,$K$9,-$C$51)-PMT(0.045/12,$K$9,-$C$51)),IF(AND($D$8=Variables!$B$4,$D$12="SI",$D$19="NO",$D$13="SI",$D$15="SI",B210&gt;24),(PMT(0.06/12,$K$9,-$C$57)-PMT(0.045/12,$K$9,-$C$57)),0)))))</f>
        <v>111.43825839224587</v>
      </c>
      <c r="G210" s="14">
        <f>+IF(B210&gt;$K$9,"",IF($D$8=Variables!$B$6,0.21*IPMT('Sim Reg N° 800'!$D$18,'Sim Reg N° 800'!B210,'Sim Reg N° 800'!$K$9,-'Sim Reg N° 800'!$J$10),0))+F210*0.21</f>
        <v>23.402034262371632</v>
      </c>
      <c r="H210" s="14">
        <f t="shared" si="16"/>
        <v>742.86266444567423</v>
      </c>
      <c r="I210" s="14">
        <f t="shared" si="14"/>
        <v>0</v>
      </c>
      <c r="J210" s="14">
        <f t="shared" si="15"/>
        <v>742.86266444567423</v>
      </c>
      <c r="K210" s="26">
        <f t="shared" si="17"/>
        <v>222.85879933370225</v>
      </c>
      <c r="L210" s="21"/>
      <c r="M210" s="19"/>
      <c r="R210" s="20"/>
    </row>
    <row r="211" spans="1:18" hidden="1" x14ac:dyDescent="0.2">
      <c r="A211" s="7"/>
      <c r="B211" s="42">
        <v>178</v>
      </c>
      <c r="C211" s="14">
        <f t="shared" si="13"/>
        <v>80097.215214537428</v>
      </c>
      <c r="D211" s="14">
        <f>IF(B211&gt;$K$9,"",IF($D$8=Variables!$B$3,PPMT($D$18,B211,$K$9,-$J$10),IF($D$8=Variables!$B$6,PPMT($D$18,B211,$K$9,-$J$10),IF($D$8=Variables!$B$5,PPMT($D$18,B211-12,$K$9-12,-$C$45),IF(AND($D$8=Variables!$B$4,$D$15="si"),0,PPMT($D$18,B211-18,$K$9-18,-$J$10-SUM($L$34:$L$51))))))+IF(AND($D$8=Variables!$B$4,'Sim Reg N° 800'!$D$15="SI"),PPMT($D$18,B211-24,$K$9-24,-$J$10-SUM($M$34:$M$57))))</f>
        <v>306.50840820576985</v>
      </c>
      <c r="E211" s="14">
        <f>IF(B211&gt;$K$9,"",IF($D$8=Variables!$B$3,IPMT($D$18,B211,$K$9,-$J$10),IF($D$8=Variables!$B$6,IPMT($D$18,B211,$K$9,-$J$10),IF($D$8=Variables!$B$5,IPMT($D$18,B211-12,$K$9-12,-$C$45),IF(AND($D$8=Variables!$B$4,$D$15="si"),0,IPMT($D$18,B211-18,$K$9-18,-$J$10-SUM($L$34:$L$51))))))+IF(AND($D$8=Variables!$B$4,'Sim Reg N° 800'!$D$15="SI"),IPMT($D$18,B211-24,$K$9-24,-$J$10-SUM($M$34:$M$57))))</f>
        <v>301.513963585287</v>
      </c>
      <c r="F211" s="14">
        <f>IF(B211&gt;$K$9,"",IF(AND($D$8=Variables!$B$3,$D$12="SI",$D$19="NO",$D$13="SI",B211&gt;=7),(PMT(0.06/12,$K$9,-$C$33)-PMT(0.045/12,$K$9,-$C$33)),IF(AND($D$8=Variables!$B$5,$D$19="NO",$D$12="SI",$D$13="SI",B211&gt;12),(PMT(0.06/12,$K$9,-$C$45)-PMT(0.045/12,$K$9,-$C$45)),IF(AND($D$8=Variables!$B$4,$D$12="SI",$D$19="NO",$D$13="SI",$D$15="NO",B211&gt;18),(PMT(0.06/12,$K$9,-$C$51)-PMT(0.045/12,$K$9,-$C$51)),IF(AND($D$8=Variables!$B$4,$D$12="SI",$D$19="NO",$D$13="SI",$D$15="SI",B211&gt;24),(PMT(0.06/12,$K$9,-$C$57)-PMT(0.045/12,$K$9,-$C$57)),0)))))</f>
        <v>111.43825839224587</v>
      </c>
      <c r="G211" s="14">
        <f>+IF(B211&gt;$K$9,"",IF($D$8=Variables!$B$6,0.21*IPMT('Sim Reg N° 800'!$D$18,'Sim Reg N° 800'!B211,'Sim Reg N° 800'!$K$9,-'Sim Reg N° 800'!$J$10),0))+F211*0.21</f>
        <v>23.402034262371632</v>
      </c>
      <c r="H211" s="14">
        <f t="shared" si="16"/>
        <v>742.86266444567434</v>
      </c>
      <c r="I211" s="14">
        <f t="shared" si="14"/>
        <v>0</v>
      </c>
      <c r="J211" s="14">
        <f t="shared" si="15"/>
        <v>742.86266444567434</v>
      </c>
      <c r="K211" s="26">
        <f t="shared" si="17"/>
        <v>222.85879933370231</v>
      </c>
      <c r="L211" s="21"/>
      <c r="M211" s="19"/>
      <c r="R211" s="20"/>
    </row>
    <row r="212" spans="1:18" hidden="1" x14ac:dyDescent="0.2">
      <c r="A212" s="7"/>
      <c r="B212" s="42">
        <v>179</v>
      </c>
      <c r="C212" s="14">
        <f t="shared" si="13"/>
        <v>79789.557399800891</v>
      </c>
      <c r="D212" s="14">
        <f>IF(B212&gt;$K$9,"",IF($D$8=Variables!$B$3,PPMT($D$18,B212,$K$9,-$J$10),IF($D$8=Variables!$B$6,PPMT($D$18,B212,$K$9,-$J$10),IF($D$8=Variables!$B$5,PPMT($D$18,B212-12,$K$9-12,-$C$45),IF(AND($D$8=Variables!$B$4,$D$15="si"),0,PPMT($D$18,B212-18,$K$9-18,-$J$10-SUM($L$34:$L$51))))))+IF(AND($D$8=Variables!$B$4,'Sim Reg N° 800'!$D$15="SI"),PPMT($D$18,B212-24,$K$9-24,-$J$10-SUM($M$34:$M$57))))</f>
        <v>307.65781473654152</v>
      </c>
      <c r="E212" s="14">
        <f>IF(B212&gt;$K$9,"",IF($D$8=Variables!$B$3,IPMT($D$18,B212,$K$9,-$J$10),IF($D$8=Variables!$B$6,IPMT($D$18,B212,$K$9,-$J$10),IF($D$8=Variables!$B$5,IPMT($D$18,B212-12,$K$9-12,-$C$45),IF(AND($D$8=Variables!$B$4,$D$15="si"),0,IPMT($D$18,B212-18,$K$9-18,-$J$10-SUM($L$34:$L$51))))))+IF(AND($D$8=Variables!$B$4,'Sim Reg N° 800'!$D$15="SI"),IPMT($D$18,B212-24,$K$9-24,-$J$10-SUM($M$34:$M$57))))</f>
        <v>300.36455705451533</v>
      </c>
      <c r="F212" s="14">
        <f>IF(B212&gt;$K$9,"",IF(AND($D$8=Variables!$B$3,$D$12="SI",$D$19="NO",$D$13="SI",B212&gt;=7),(PMT(0.06/12,$K$9,-$C$33)-PMT(0.045/12,$K$9,-$C$33)),IF(AND($D$8=Variables!$B$5,$D$19="NO",$D$12="SI",$D$13="SI",B212&gt;12),(PMT(0.06/12,$K$9,-$C$45)-PMT(0.045/12,$K$9,-$C$45)),IF(AND($D$8=Variables!$B$4,$D$12="SI",$D$19="NO",$D$13="SI",$D$15="NO",B212&gt;18),(PMT(0.06/12,$K$9,-$C$51)-PMT(0.045/12,$K$9,-$C$51)),IF(AND($D$8=Variables!$B$4,$D$12="SI",$D$19="NO",$D$13="SI",$D$15="SI",B212&gt;24),(PMT(0.06/12,$K$9,-$C$57)-PMT(0.045/12,$K$9,-$C$57)),0)))))</f>
        <v>111.43825839224587</v>
      </c>
      <c r="G212" s="14">
        <f>+IF(B212&gt;$K$9,"",IF($D$8=Variables!$B$6,0.21*IPMT('Sim Reg N° 800'!$D$18,'Sim Reg N° 800'!B212,'Sim Reg N° 800'!$K$9,-'Sim Reg N° 800'!$J$10),0))+F212*0.21</f>
        <v>23.402034262371632</v>
      </c>
      <c r="H212" s="14">
        <f t="shared" si="16"/>
        <v>742.86266444567434</v>
      </c>
      <c r="I212" s="14">
        <f t="shared" si="14"/>
        <v>0</v>
      </c>
      <c r="J212" s="14">
        <f t="shared" si="15"/>
        <v>742.86266444567434</v>
      </c>
      <c r="K212" s="26">
        <f t="shared" si="17"/>
        <v>222.85879933370231</v>
      </c>
      <c r="L212" s="21"/>
      <c r="M212" s="19"/>
      <c r="R212" s="20"/>
    </row>
    <row r="213" spans="1:18" hidden="1" x14ac:dyDescent="0.2">
      <c r="A213" s="7"/>
      <c r="B213" s="42">
        <v>180</v>
      </c>
      <c r="C213" s="14">
        <f t="shared" si="13"/>
        <v>79480.74586825908</v>
      </c>
      <c r="D213" s="14">
        <f>IF(B213&gt;$K$9,"",IF($D$8=Variables!$B$3,PPMT($D$18,B213,$K$9,-$J$10),IF($D$8=Variables!$B$6,PPMT($D$18,B213,$K$9,-$J$10),IF($D$8=Variables!$B$5,PPMT($D$18,B213-12,$K$9-12,-$C$45),IF(AND($D$8=Variables!$B$4,$D$15="si"),0,PPMT($D$18,B213-18,$K$9-18,-$J$10-SUM($L$34:$L$51))))))+IF(AND($D$8=Variables!$B$4,'Sim Reg N° 800'!$D$15="SI"),PPMT($D$18,B213-24,$K$9-24,-$J$10-SUM($M$34:$M$57))))</f>
        <v>308.81153154180356</v>
      </c>
      <c r="E213" s="14">
        <f>IF(B213&gt;$K$9,"",IF($D$8=Variables!$B$3,IPMT($D$18,B213,$K$9,-$J$10),IF($D$8=Variables!$B$6,IPMT($D$18,B213,$K$9,-$J$10),IF($D$8=Variables!$B$5,IPMT($D$18,B213-12,$K$9-12,-$C$45),IF(AND($D$8=Variables!$B$4,$D$15="si"),0,IPMT($D$18,B213-18,$K$9-18,-$J$10-SUM($L$34:$L$51))))))+IF(AND($D$8=Variables!$B$4,'Sim Reg N° 800'!$D$15="SI"),IPMT($D$18,B213-24,$K$9-24,-$J$10-SUM($M$34:$M$57))))</f>
        <v>299.21084024925335</v>
      </c>
      <c r="F213" s="14">
        <f>IF(B213&gt;$K$9,"",IF(AND($D$8=Variables!$B$3,$D$12="SI",$D$19="NO",$D$13="SI",B213&gt;=7),(PMT(0.06/12,$K$9,-$C$33)-PMT(0.045/12,$K$9,-$C$33)),IF(AND($D$8=Variables!$B$5,$D$19="NO",$D$12="SI",$D$13="SI",B213&gt;12),(PMT(0.06/12,$K$9,-$C$45)-PMT(0.045/12,$K$9,-$C$45)),IF(AND($D$8=Variables!$B$4,$D$12="SI",$D$19="NO",$D$13="SI",$D$15="NO",B213&gt;18),(PMT(0.06/12,$K$9,-$C$51)-PMT(0.045/12,$K$9,-$C$51)),IF(AND($D$8=Variables!$B$4,$D$12="SI",$D$19="NO",$D$13="SI",$D$15="SI",B213&gt;24),(PMT(0.06/12,$K$9,-$C$57)-PMT(0.045/12,$K$9,-$C$57)),0)))))</f>
        <v>111.43825839224587</v>
      </c>
      <c r="G213" s="14">
        <f>+IF(B213&gt;$K$9,"",IF($D$8=Variables!$B$6,0.21*IPMT('Sim Reg N° 800'!$D$18,'Sim Reg N° 800'!B213,'Sim Reg N° 800'!$K$9,-'Sim Reg N° 800'!$J$10),0))+F213*0.21</f>
        <v>23.402034262371632</v>
      </c>
      <c r="H213" s="14">
        <f t="shared" si="16"/>
        <v>742.86266444567445</v>
      </c>
      <c r="I213" s="14">
        <f t="shared" si="14"/>
        <v>0</v>
      </c>
      <c r="J213" s="14">
        <f t="shared" si="15"/>
        <v>742.86266444567445</v>
      </c>
      <c r="K213" s="26">
        <f t="shared" si="17"/>
        <v>222.85879933370234</v>
      </c>
      <c r="L213" s="21"/>
      <c r="M213" s="19"/>
      <c r="R213" s="20"/>
    </row>
    <row r="214" spans="1:18" hidden="1" x14ac:dyDescent="0.2">
      <c r="A214" s="7"/>
      <c r="B214" s="42">
        <v>181</v>
      </c>
      <c r="C214" s="14">
        <f t="shared" si="13"/>
        <v>79170.776293474002</v>
      </c>
      <c r="D214" s="14">
        <f>IF(B214&gt;$K$9,"",IF($D$8=Variables!$B$3,PPMT($D$18,B214,$K$9,-$J$10),IF($D$8=Variables!$B$6,PPMT($D$18,B214,$K$9,-$J$10),IF($D$8=Variables!$B$5,PPMT($D$18,B214-12,$K$9-12,-$C$45),IF(AND($D$8=Variables!$B$4,$D$15="si"),0,PPMT($D$18,B214-18,$K$9-18,-$J$10-SUM($L$34:$L$51))))))+IF(AND($D$8=Variables!$B$4,'Sim Reg N° 800'!$D$15="SI"),PPMT($D$18,B214-24,$K$9-24,-$J$10-SUM($M$34:$M$57))))</f>
        <v>309.96957478508523</v>
      </c>
      <c r="E214" s="14">
        <f>IF(B214&gt;$K$9,"",IF($D$8=Variables!$B$3,IPMT($D$18,B214,$K$9,-$J$10),IF($D$8=Variables!$B$6,IPMT($D$18,B214,$K$9,-$J$10),IF($D$8=Variables!$B$5,IPMT($D$18,B214-12,$K$9-12,-$C$45),IF(AND($D$8=Variables!$B$4,$D$15="si"),0,IPMT($D$18,B214-18,$K$9-18,-$J$10-SUM($L$34:$L$51))))))+IF(AND($D$8=Variables!$B$4,'Sim Reg N° 800'!$D$15="SI"),IPMT($D$18,B214-24,$K$9-24,-$J$10-SUM($M$34:$M$57))))</f>
        <v>298.05279700597157</v>
      </c>
      <c r="F214" s="14">
        <f>IF(B214&gt;$K$9,"",IF(AND($D$8=Variables!$B$3,$D$12="SI",$D$19="NO",$D$13="SI",B214&gt;=7),(PMT(0.06/12,$K$9,-$C$33)-PMT(0.045/12,$K$9,-$C$33)),IF(AND($D$8=Variables!$B$5,$D$19="NO",$D$12="SI",$D$13="SI",B214&gt;12),(PMT(0.06/12,$K$9,-$C$45)-PMT(0.045/12,$K$9,-$C$45)),IF(AND($D$8=Variables!$B$4,$D$12="SI",$D$19="NO",$D$13="SI",$D$15="NO",B214&gt;18),(PMT(0.06/12,$K$9,-$C$51)-PMT(0.045/12,$K$9,-$C$51)),IF(AND($D$8=Variables!$B$4,$D$12="SI",$D$19="NO",$D$13="SI",$D$15="SI",B214&gt;24),(PMT(0.06/12,$K$9,-$C$57)-PMT(0.045/12,$K$9,-$C$57)),0)))))</f>
        <v>111.43825839224587</v>
      </c>
      <c r="G214" s="14">
        <f>+IF(B214&gt;$K$9,"",IF($D$8=Variables!$B$6,0.21*IPMT('Sim Reg N° 800'!$D$18,'Sim Reg N° 800'!B214,'Sim Reg N° 800'!$K$9,-'Sim Reg N° 800'!$J$10),0))+F214*0.21</f>
        <v>23.402034262371632</v>
      </c>
      <c r="H214" s="14">
        <f t="shared" si="16"/>
        <v>742.86266444567423</v>
      </c>
      <c r="I214" s="14">
        <f t="shared" si="14"/>
        <v>95.999999999999986</v>
      </c>
      <c r="J214" s="14">
        <f t="shared" si="15"/>
        <v>838.86266444567423</v>
      </c>
      <c r="K214" s="26">
        <f t="shared" si="17"/>
        <v>251.65879933370226</v>
      </c>
      <c r="L214" s="21"/>
      <c r="M214" s="19"/>
      <c r="R214" s="20"/>
    </row>
    <row r="215" spans="1:18" hidden="1" x14ac:dyDescent="0.2">
      <c r="A215" s="7"/>
      <c r="B215" s="42">
        <v>182</v>
      </c>
      <c r="C215" s="14">
        <f t="shared" si="13"/>
        <v>78859.644332783471</v>
      </c>
      <c r="D215" s="14">
        <f>IF(B215&gt;$K$9,"",IF($D$8=Variables!$B$3,PPMT($D$18,B215,$K$9,-$J$10),IF($D$8=Variables!$B$6,PPMT($D$18,B215,$K$9,-$J$10),IF($D$8=Variables!$B$5,PPMT($D$18,B215-12,$K$9-12,-$C$45),IF(AND($D$8=Variables!$B$4,$D$15="si"),0,PPMT($D$18,B215-18,$K$9-18,-$J$10-SUM($L$34:$L$51))))))+IF(AND($D$8=Variables!$B$4,'Sim Reg N° 800'!$D$15="SI"),PPMT($D$18,B215-24,$K$9-24,-$J$10-SUM($M$34:$M$57))))</f>
        <v>311.13196069052941</v>
      </c>
      <c r="E215" s="14">
        <f>IF(B215&gt;$K$9,"",IF($D$8=Variables!$B$3,IPMT($D$18,B215,$K$9,-$J$10),IF($D$8=Variables!$B$6,IPMT($D$18,B215,$K$9,-$J$10),IF($D$8=Variables!$B$5,IPMT($D$18,B215-12,$K$9-12,-$C$45),IF(AND($D$8=Variables!$B$4,$D$15="si"),0,IPMT($D$18,B215-18,$K$9-18,-$J$10-SUM($L$34:$L$51))))))+IF(AND($D$8=Variables!$B$4,'Sim Reg N° 800'!$D$15="SI"),IPMT($D$18,B215-24,$K$9-24,-$J$10-SUM($M$34:$M$57))))</f>
        <v>296.89041110052744</v>
      </c>
      <c r="F215" s="14">
        <f>IF(B215&gt;$K$9,"",IF(AND($D$8=Variables!$B$3,$D$12="SI",$D$19="NO",$D$13="SI",B215&gt;=7),(PMT(0.06/12,$K$9,-$C$33)-PMT(0.045/12,$K$9,-$C$33)),IF(AND($D$8=Variables!$B$5,$D$19="NO",$D$12="SI",$D$13="SI",B215&gt;12),(PMT(0.06/12,$K$9,-$C$45)-PMT(0.045/12,$K$9,-$C$45)),IF(AND($D$8=Variables!$B$4,$D$12="SI",$D$19="NO",$D$13="SI",$D$15="NO",B215&gt;18),(PMT(0.06/12,$K$9,-$C$51)-PMT(0.045/12,$K$9,-$C$51)),IF(AND($D$8=Variables!$B$4,$D$12="SI",$D$19="NO",$D$13="SI",$D$15="SI",B215&gt;24),(PMT(0.06/12,$K$9,-$C$57)-PMT(0.045/12,$K$9,-$C$57)),0)))))</f>
        <v>111.43825839224587</v>
      </c>
      <c r="G215" s="14">
        <f>+IF(B215&gt;$K$9,"",IF($D$8=Variables!$B$6,0.21*IPMT('Sim Reg N° 800'!$D$18,'Sim Reg N° 800'!B215,'Sim Reg N° 800'!$K$9,-'Sim Reg N° 800'!$J$10),0))+F215*0.21</f>
        <v>23.402034262371632</v>
      </c>
      <c r="H215" s="14">
        <f t="shared" si="16"/>
        <v>742.86266444567434</v>
      </c>
      <c r="I215" s="14">
        <f t="shared" si="14"/>
        <v>0</v>
      </c>
      <c r="J215" s="14">
        <f t="shared" si="15"/>
        <v>742.86266444567434</v>
      </c>
      <c r="K215" s="26">
        <f t="shared" si="17"/>
        <v>222.85879933370231</v>
      </c>
      <c r="L215" s="21"/>
      <c r="M215" s="19"/>
      <c r="R215" s="20"/>
    </row>
    <row r="216" spans="1:18" hidden="1" x14ac:dyDescent="0.2">
      <c r="A216" s="7"/>
      <c r="B216" s="42">
        <v>183</v>
      </c>
      <c r="C216" s="14">
        <f t="shared" si="13"/>
        <v>78547.345627240356</v>
      </c>
      <c r="D216" s="14">
        <f>IF(B216&gt;$K$9,"",IF($D$8=Variables!$B$3,PPMT($D$18,B216,$K$9,-$J$10),IF($D$8=Variables!$B$6,PPMT($D$18,B216,$K$9,-$J$10),IF($D$8=Variables!$B$5,PPMT($D$18,B216-12,$K$9-12,-$C$45),IF(AND($D$8=Variables!$B$4,$D$15="si"),0,PPMT($D$18,B216-18,$K$9-18,-$J$10-SUM($L$34:$L$51))))))+IF(AND($D$8=Variables!$B$4,'Sim Reg N° 800'!$D$15="SI"),PPMT($D$18,B216-24,$K$9-24,-$J$10-SUM($M$34:$M$57))))</f>
        <v>312.29870554311884</v>
      </c>
      <c r="E216" s="14">
        <f>IF(B216&gt;$K$9,"",IF($D$8=Variables!$B$3,IPMT($D$18,B216,$K$9,-$J$10),IF($D$8=Variables!$B$6,IPMT($D$18,B216,$K$9,-$J$10),IF($D$8=Variables!$B$5,IPMT($D$18,B216-12,$K$9-12,-$C$45),IF(AND($D$8=Variables!$B$4,$D$15="si"),0,IPMT($D$18,B216-18,$K$9-18,-$J$10-SUM($L$34:$L$51))))))+IF(AND($D$8=Variables!$B$4,'Sim Reg N° 800'!$D$15="SI"),IPMT($D$18,B216-24,$K$9-24,-$J$10-SUM($M$34:$M$57))))</f>
        <v>295.72366624793801</v>
      </c>
      <c r="F216" s="14">
        <f>IF(B216&gt;$K$9,"",IF(AND($D$8=Variables!$B$3,$D$12="SI",$D$19="NO",$D$13="SI",B216&gt;=7),(PMT(0.06/12,$K$9,-$C$33)-PMT(0.045/12,$K$9,-$C$33)),IF(AND($D$8=Variables!$B$5,$D$19="NO",$D$12="SI",$D$13="SI",B216&gt;12),(PMT(0.06/12,$K$9,-$C$45)-PMT(0.045/12,$K$9,-$C$45)),IF(AND($D$8=Variables!$B$4,$D$12="SI",$D$19="NO",$D$13="SI",$D$15="NO",B216&gt;18),(PMT(0.06/12,$K$9,-$C$51)-PMT(0.045/12,$K$9,-$C$51)),IF(AND($D$8=Variables!$B$4,$D$12="SI",$D$19="NO",$D$13="SI",$D$15="SI",B216&gt;24),(PMT(0.06/12,$K$9,-$C$57)-PMT(0.045/12,$K$9,-$C$57)),0)))))</f>
        <v>111.43825839224587</v>
      </c>
      <c r="G216" s="14">
        <f>+IF(B216&gt;$K$9,"",IF($D$8=Variables!$B$6,0.21*IPMT('Sim Reg N° 800'!$D$18,'Sim Reg N° 800'!B216,'Sim Reg N° 800'!$K$9,-'Sim Reg N° 800'!$J$10),0))+F216*0.21</f>
        <v>23.402034262371632</v>
      </c>
      <c r="H216" s="14">
        <f t="shared" si="16"/>
        <v>742.86266444567434</v>
      </c>
      <c r="I216" s="14">
        <f t="shared" si="14"/>
        <v>0</v>
      </c>
      <c r="J216" s="14">
        <f t="shared" si="15"/>
        <v>742.86266444567434</v>
      </c>
      <c r="K216" s="26">
        <f t="shared" si="17"/>
        <v>222.85879933370231</v>
      </c>
      <c r="L216" s="21"/>
      <c r="M216" s="19"/>
      <c r="R216" s="20"/>
    </row>
    <row r="217" spans="1:18" hidden="1" x14ac:dyDescent="0.2">
      <c r="A217" s="7"/>
      <c r="B217" s="42">
        <v>184</v>
      </c>
      <c r="C217" s="14">
        <f t="shared" si="13"/>
        <v>78233.875801551447</v>
      </c>
      <c r="D217" s="14">
        <f>IF(B217&gt;$K$9,"",IF($D$8=Variables!$B$3,PPMT($D$18,B217,$K$9,-$J$10),IF($D$8=Variables!$B$6,PPMT($D$18,B217,$K$9,-$J$10),IF($D$8=Variables!$B$5,PPMT($D$18,B217-12,$K$9-12,-$C$45),IF(AND($D$8=Variables!$B$4,$D$15="si"),0,PPMT($D$18,B217-18,$K$9-18,-$J$10-SUM($L$34:$L$51))))))+IF(AND($D$8=Variables!$B$4,'Sim Reg N° 800'!$D$15="SI"),PPMT($D$18,B217-24,$K$9-24,-$J$10-SUM($M$34:$M$57))))</f>
        <v>313.46982568890559</v>
      </c>
      <c r="E217" s="14">
        <f>IF(B217&gt;$K$9,"",IF($D$8=Variables!$B$3,IPMT($D$18,B217,$K$9,-$J$10),IF($D$8=Variables!$B$6,IPMT($D$18,B217,$K$9,-$J$10),IF($D$8=Variables!$B$5,IPMT($D$18,B217-12,$K$9-12,-$C$45),IF(AND($D$8=Variables!$B$4,$D$15="si"),0,IPMT($D$18,B217-18,$K$9-18,-$J$10-SUM($L$34:$L$51))))))+IF(AND($D$8=Variables!$B$4,'Sim Reg N° 800'!$D$15="SI"),IPMT($D$18,B217-24,$K$9-24,-$J$10-SUM($M$34:$M$57))))</f>
        <v>294.55254610215127</v>
      </c>
      <c r="F217" s="14">
        <f>IF(B217&gt;$K$9,"",IF(AND($D$8=Variables!$B$3,$D$12="SI",$D$19="NO",$D$13="SI",B217&gt;=7),(PMT(0.06/12,$K$9,-$C$33)-PMT(0.045/12,$K$9,-$C$33)),IF(AND($D$8=Variables!$B$5,$D$19="NO",$D$12="SI",$D$13="SI",B217&gt;12),(PMT(0.06/12,$K$9,-$C$45)-PMT(0.045/12,$K$9,-$C$45)),IF(AND($D$8=Variables!$B$4,$D$12="SI",$D$19="NO",$D$13="SI",$D$15="NO",B217&gt;18),(PMT(0.06/12,$K$9,-$C$51)-PMT(0.045/12,$K$9,-$C$51)),IF(AND($D$8=Variables!$B$4,$D$12="SI",$D$19="NO",$D$13="SI",$D$15="SI",B217&gt;24),(PMT(0.06/12,$K$9,-$C$57)-PMT(0.045/12,$K$9,-$C$57)),0)))))</f>
        <v>111.43825839224587</v>
      </c>
      <c r="G217" s="14">
        <f>+IF(B217&gt;$K$9,"",IF($D$8=Variables!$B$6,0.21*IPMT('Sim Reg N° 800'!$D$18,'Sim Reg N° 800'!B217,'Sim Reg N° 800'!$K$9,-'Sim Reg N° 800'!$J$10),0))+F217*0.21</f>
        <v>23.402034262371632</v>
      </c>
      <c r="H217" s="14">
        <f t="shared" si="16"/>
        <v>742.86266444567434</v>
      </c>
      <c r="I217" s="14">
        <f t="shared" si="14"/>
        <v>0</v>
      </c>
      <c r="J217" s="14">
        <f t="shared" si="15"/>
        <v>742.86266444567434</v>
      </c>
      <c r="K217" s="26">
        <f t="shared" si="17"/>
        <v>222.85879933370231</v>
      </c>
      <c r="L217" s="21"/>
      <c r="M217" s="19"/>
      <c r="R217" s="20"/>
    </row>
    <row r="218" spans="1:18" hidden="1" x14ac:dyDescent="0.2">
      <c r="A218" s="7"/>
      <c r="B218" s="42">
        <v>185</v>
      </c>
      <c r="C218" s="14">
        <f t="shared" si="13"/>
        <v>77919.230464016204</v>
      </c>
      <c r="D218" s="14">
        <f>IF(B218&gt;$K$9,"",IF($D$8=Variables!$B$3,PPMT($D$18,B218,$K$9,-$J$10),IF($D$8=Variables!$B$6,PPMT($D$18,B218,$K$9,-$J$10),IF($D$8=Variables!$B$5,PPMT($D$18,B218-12,$K$9-12,-$C$45),IF(AND($D$8=Variables!$B$4,$D$15="si"),0,PPMT($D$18,B218-18,$K$9-18,-$J$10-SUM($L$34:$L$51))))))+IF(AND($D$8=Variables!$B$4,'Sim Reg N° 800'!$D$15="SI"),PPMT($D$18,B218-24,$K$9-24,-$J$10-SUM($M$34:$M$57))))</f>
        <v>314.64533753523892</v>
      </c>
      <c r="E218" s="14">
        <f>IF(B218&gt;$K$9,"",IF($D$8=Variables!$B$3,IPMT($D$18,B218,$K$9,-$J$10),IF($D$8=Variables!$B$6,IPMT($D$18,B218,$K$9,-$J$10),IF($D$8=Variables!$B$5,IPMT($D$18,B218-12,$K$9-12,-$C$45),IF(AND($D$8=Variables!$B$4,$D$15="si"),0,IPMT($D$18,B218-18,$K$9-18,-$J$10-SUM($L$34:$L$51))))))+IF(AND($D$8=Variables!$B$4,'Sim Reg N° 800'!$D$15="SI"),IPMT($D$18,B218-24,$K$9-24,-$J$10-SUM($M$34:$M$57))))</f>
        <v>293.37703425581793</v>
      </c>
      <c r="F218" s="14">
        <f>IF(B218&gt;$K$9,"",IF(AND($D$8=Variables!$B$3,$D$12="SI",$D$19="NO",$D$13="SI",B218&gt;=7),(PMT(0.06/12,$K$9,-$C$33)-PMT(0.045/12,$K$9,-$C$33)),IF(AND($D$8=Variables!$B$5,$D$19="NO",$D$12="SI",$D$13="SI",B218&gt;12),(PMT(0.06/12,$K$9,-$C$45)-PMT(0.045/12,$K$9,-$C$45)),IF(AND($D$8=Variables!$B$4,$D$12="SI",$D$19="NO",$D$13="SI",$D$15="NO",B218&gt;18),(PMT(0.06/12,$K$9,-$C$51)-PMT(0.045/12,$K$9,-$C$51)),IF(AND($D$8=Variables!$B$4,$D$12="SI",$D$19="NO",$D$13="SI",$D$15="SI",B218&gt;24),(PMT(0.06/12,$K$9,-$C$57)-PMT(0.045/12,$K$9,-$C$57)),0)))))</f>
        <v>111.43825839224587</v>
      </c>
      <c r="G218" s="14">
        <f>+IF(B218&gt;$K$9,"",IF($D$8=Variables!$B$6,0.21*IPMT('Sim Reg N° 800'!$D$18,'Sim Reg N° 800'!B218,'Sim Reg N° 800'!$K$9,-'Sim Reg N° 800'!$J$10),0))+F218*0.21</f>
        <v>23.402034262371632</v>
      </c>
      <c r="H218" s="14">
        <f t="shared" si="16"/>
        <v>742.86266444567434</v>
      </c>
      <c r="I218" s="14">
        <f t="shared" si="14"/>
        <v>0</v>
      </c>
      <c r="J218" s="14">
        <f t="shared" si="15"/>
        <v>742.86266444567434</v>
      </c>
      <c r="K218" s="26">
        <f t="shared" si="17"/>
        <v>222.85879933370231</v>
      </c>
      <c r="L218" s="21"/>
      <c r="M218" s="19"/>
      <c r="R218" s="20"/>
    </row>
    <row r="219" spans="1:18" hidden="1" x14ac:dyDescent="0.2">
      <c r="A219" s="7"/>
      <c r="B219" s="42">
        <v>186</v>
      </c>
      <c r="C219" s="14">
        <f t="shared" si="13"/>
        <v>77603.405206465206</v>
      </c>
      <c r="D219" s="14">
        <f>IF(B219&gt;$K$9,"",IF($D$8=Variables!$B$3,PPMT($D$18,B219,$K$9,-$J$10),IF($D$8=Variables!$B$6,PPMT($D$18,B219,$K$9,-$J$10),IF($D$8=Variables!$B$5,PPMT($D$18,B219-12,$K$9-12,-$C$45),IF(AND($D$8=Variables!$B$4,$D$15="si"),0,PPMT($D$18,B219-18,$K$9-18,-$J$10-SUM($L$34:$L$51))))))+IF(AND($D$8=Variables!$B$4,'Sim Reg N° 800'!$D$15="SI"),PPMT($D$18,B219-24,$K$9-24,-$J$10-SUM($M$34:$M$57))))</f>
        <v>315.82525755099607</v>
      </c>
      <c r="E219" s="14">
        <f>IF(B219&gt;$K$9,"",IF($D$8=Variables!$B$3,IPMT($D$18,B219,$K$9,-$J$10),IF($D$8=Variables!$B$6,IPMT($D$18,B219,$K$9,-$J$10),IF($D$8=Variables!$B$5,IPMT($D$18,B219-12,$K$9-12,-$C$45),IF(AND($D$8=Variables!$B$4,$D$15="si"),0,IPMT($D$18,B219-18,$K$9-18,-$J$10-SUM($L$34:$L$51))))))+IF(AND($D$8=Variables!$B$4,'Sim Reg N° 800'!$D$15="SI"),IPMT($D$18,B219-24,$K$9-24,-$J$10-SUM($M$34:$M$57))))</f>
        <v>292.19711424006073</v>
      </c>
      <c r="F219" s="14">
        <f>IF(B219&gt;$K$9,"",IF(AND($D$8=Variables!$B$3,$D$12="SI",$D$19="NO",$D$13="SI",B219&gt;=7),(PMT(0.06/12,$K$9,-$C$33)-PMT(0.045/12,$K$9,-$C$33)),IF(AND($D$8=Variables!$B$5,$D$19="NO",$D$12="SI",$D$13="SI",B219&gt;12),(PMT(0.06/12,$K$9,-$C$45)-PMT(0.045/12,$K$9,-$C$45)),IF(AND($D$8=Variables!$B$4,$D$12="SI",$D$19="NO",$D$13="SI",$D$15="NO",B219&gt;18),(PMT(0.06/12,$K$9,-$C$51)-PMT(0.045/12,$K$9,-$C$51)),IF(AND($D$8=Variables!$B$4,$D$12="SI",$D$19="NO",$D$13="SI",$D$15="SI",B219&gt;24),(PMT(0.06/12,$K$9,-$C$57)-PMT(0.045/12,$K$9,-$C$57)),0)))))</f>
        <v>111.43825839224587</v>
      </c>
      <c r="G219" s="14">
        <f>+IF(B219&gt;$K$9,"",IF($D$8=Variables!$B$6,0.21*IPMT('Sim Reg N° 800'!$D$18,'Sim Reg N° 800'!B219,'Sim Reg N° 800'!$K$9,-'Sim Reg N° 800'!$J$10),0))+F219*0.21</f>
        <v>23.402034262371632</v>
      </c>
      <c r="H219" s="14">
        <f t="shared" si="16"/>
        <v>742.86266444567423</v>
      </c>
      <c r="I219" s="14">
        <f t="shared" si="14"/>
        <v>0</v>
      </c>
      <c r="J219" s="14">
        <f t="shared" si="15"/>
        <v>742.86266444567423</v>
      </c>
      <c r="K219" s="26">
        <f t="shared" si="17"/>
        <v>222.85879933370225</v>
      </c>
      <c r="L219" s="21"/>
      <c r="M219" s="19"/>
      <c r="R219" s="20"/>
    </row>
    <row r="220" spans="1:18" hidden="1" x14ac:dyDescent="0.2">
      <c r="A220" s="7"/>
      <c r="B220" s="42">
        <v>187</v>
      </c>
      <c r="C220" s="14">
        <f t="shared" si="13"/>
        <v>77286.395604198391</v>
      </c>
      <c r="D220" s="14">
        <f>IF(B220&gt;$K$9,"",IF($D$8=Variables!$B$3,PPMT($D$18,B220,$K$9,-$J$10),IF($D$8=Variables!$B$6,PPMT($D$18,B220,$K$9,-$J$10),IF($D$8=Variables!$B$5,PPMT($D$18,B220-12,$K$9-12,-$C$45),IF(AND($D$8=Variables!$B$4,$D$15="si"),0,PPMT($D$18,B220-18,$K$9-18,-$J$10-SUM($L$34:$L$51))))))+IF(AND($D$8=Variables!$B$4,'Sim Reg N° 800'!$D$15="SI"),PPMT($D$18,B220-24,$K$9-24,-$J$10-SUM($M$34:$M$57))))</f>
        <v>317.00960226681235</v>
      </c>
      <c r="E220" s="14">
        <f>IF(B220&gt;$K$9,"",IF($D$8=Variables!$B$3,IPMT($D$18,B220,$K$9,-$J$10),IF($D$8=Variables!$B$6,IPMT($D$18,B220,$K$9,-$J$10),IF($D$8=Variables!$B$5,IPMT($D$18,B220-12,$K$9-12,-$C$45),IF(AND($D$8=Variables!$B$4,$D$15="si"),0,IPMT($D$18,B220-18,$K$9-18,-$J$10-SUM($L$34:$L$51))))))+IF(AND($D$8=Variables!$B$4,'Sim Reg N° 800'!$D$15="SI"),IPMT($D$18,B220-24,$K$9-24,-$J$10-SUM($M$34:$M$57))))</f>
        <v>291.0127695242445</v>
      </c>
      <c r="F220" s="14">
        <f>IF(B220&gt;$K$9,"",IF(AND($D$8=Variables!$B$3,$D$12="SI",$D$19="NO",$D$13="SI",B220&gt;=7),(PMT(0.06/12,$K$9,-$C$33)-PMT(0.045/12,$K$9,-$C$33)),IF(AND($D$8=Variables!$B$5,$D$19="NO",$D$12="SI",$D$13="SI",B220&gt;12),(PMT(0.06/12,$K$9,-$C$45)-PMT(0.045/12,$K$9,-$C$45)),IF(AND($D$8=Variables!$B$4,$D$12="SI",$D$19="NO",$D$13="SI",$D$15="NO",B220&gt;18),(PMT(0.06/12,$K$9,-$C$51)-PMT(0.045/12,$K$9,-$C$51)),IF(AND($D$8=Variables!$B$4,$D$12="SI",$D$19="NO",$D$13="SI",$D$15="SI",B220&gt;24),(PMT(0.06/12,$K$9,-$C$57)-PMT(0.045/12,$K$9,-$C$57)),0)))))</f>
        <v>111.43825839224587</v>
      </c>
      <c r="G220" s="14">
        <f>+IF(B220&gt;$K$9,"",IF($D$8=Variables!$B$6,0.21*IPMT('Sim Reg N° 800'!$D$18,'Sim Reg N° 800'!B220,'Sim Reg N° 800'!$K$9,-'Sim Reg N° 800'!$J$10),0))+F220*0.21</f>
        <v>23.402034262371632</v>
      </c>
      <c r="H220" s="14">
        <f t="shared" si="16"/>
        <v>742.86266444567434</v>
      </c>
      <c r="I220" s="14">
        <f t="shared" si="14"/>
        <v>0</v>
      </c>
      <c r="J220" s="14">
        <f t="shared" si="15"/>
        <v>742.86266444567434</v>
      </c>
      <c r="K220" s="26">
        <f t="shared" si="17"/>
        <v>222.85879933370231</v>
      </c>
      <c r="L220" s="21"/>
      <c r="M220" s="19"/>
      <c r="R220" s="20"/>
    </row>
    <row r="221" spans="1:18" hidden="1" x14ac:dyDescent="0.2">
      <c r="A221" s="7"/>
      <c r="B221" s="42">
        <v>188</v>
      </c>
      <c r="C221" s="14">
        <f t="shared" si="13"/>
        <v>76968.197215923079</v>
      </c>
      <c r="D221" s="14">
        <f>IF(B221&gt;$K$9,"",IF($D$8=Variables!$B$3,PPMT($D$18,B221,$K$9,-$J$10),IF($D$8=Variables!$B$6,PPMT($D$18,B221,$K$9,-$J$10),IF($D$8=Variables!$B$5,PPMT($D$18,B221-12,$K$9-12,-$C$45),IF(AND($D$8=Variables!$B$4,$D$15="si"),0,PPMT($D$18,B221-18,$K$9-18,-$J$10-SUM($L$34:$L$51))))))+IF(AND($D$8=Variables!$B$4,'Sim Reg N° 800'!$D$15="SI"),PPMT($D$18,B221-24,$K$9-24,-$J$10-SUM($M$34:$M$57))))</f>
        <v>318.19838827531288</v>
      </c>
      <c r="E221" s="14">
        <f>IF(B221&gt;$K$9,"",IF($D$8=Variables!$B$3,IPMT($D$18,B221,$K$9,-$J$10),IF($D$8=Variables!$B$6,IPMT($D$18,B221,$K$9,-$J$10),IF($D$8=Variables!$B$5,IPMT($D$18,B221-12,$K$9-12,-$C$45),IF(AND($D$8=Variables!$B$4,$D$15="si"),0,IPMT($D$18,B221-18,$K$9-18,-$J$10-SUM($L$34:$L$51))))))+IF(AND($D$8=Variables!$B$4,'Sim Reg N° 800'!$D$15="SI"),IPMT($D$18,B221-24,$K$9-24,-$J$10-SUM($M$34:$M$57))))</f>
        <v>289.82398351574398</v>
      </c>
      <c r="F221" s="14">
        <f>IF(B221&gt;$K$9,"",IF(AND($D$8=Variables!$B$3,$D$12="SI",$D$19="NO",$D$13="SI",B221&gt;=7),(PMT(0.06/12,$K$9,-$C$33)-PMT(0.045/12,$K$9,-$C$33)),IF(AND($D$8=Variables!$B$5,$D$19="NO",$D$12="SI",$D$13="SI",B221&gt;12),(PMT(0.06/12,$K$9,-$C$45)-PMT(0.045/12,$K$9,-$C$45)),IF(AND($D$8=Variables!$B$4,$D$12="SI",$D$19="NO",$D$13="SI",$D$15="NO",B221&gt;18),(PMT(0.06/12,$K$9,-$C$51)-PMT(0.045/12,$K$9,-$C$51)),IF(AND($D$8=Variables!$B$4,$D$12="SI",$D$19="NO",$D$13="SI",$D$15="SI",B221&gt;24),(PMT(0.06/12,$K$9,-$C$57)-PMT(0.045/12,$K$9,-$C$57)),0)))))</f>
        <v>111.43825839224587</v>
      </c>
      <c r="G221" s="14">
        <f>+IF(B221&gt;$K$9,"",IF($D$8=Variables!$B$6,0.21*IPMT('Sim Reg N° 800'!$D$18,'Sim Reg N° 800'!B221,'Sim Reg N° 800'!$K$9,-'Sim Reg N° 800'!$J$10),0))+F221*0.21</f>
        <v>23.402034262371632</v>
      </c>
      <c r="H221" s="14">
        <f t="shared" si="16"/>
        <v>742.86266444567434</v>
      </c>
      <c r="I221" s="14">
        <f t="shared" si="14"/>
        <v>0</v>
      </c>
      <c r="J221" s="14">
        <f t="shared" si="15"/>
        <v>742.86266444567434</v>
      </c>
      <c r="K221" s="26">
        <f t="shared" si="17"/>
        <v>222.85879933370231</v>
      </c>
      <c r="L221" s="21"/>
      <c r="M221" s="19"/>
      <c r="R221" s="20"/>
    </row>
    <row r="222" spans="1:18" hidden="1" x14ac:dyDescent="0.2">
      <c r="A222" s="7"/>
      <c r="B222" s="42">
        <v>189</v>
      </c>
      <c r="C222" s="14">
        <f t="shared" ref="C222:C285" si="18">+IF(B222&gt;$K$9,"",(C221-D222))</f>
        <v>76648.805583691734</v>
      </c>
      <c r="D222" s="14">
        <f>IF(B222&gt;$K$9,"",IF($D$8=Variables!$B$3,PPMT($D$18,B222,$K$9,-$J$10),IF($D$8=Variables!$B$6,PPMT($D$18,B222,$K$9,-$J$10),IF($D$8=Variables!$B$5,PPMT($D$18,B222-12,$K$9-12,-$C$45),IF(AND($D$8=Variables!$B$4,$D$15="si"),0,PPMT($D$18,B222-18,$K$9-18,-$J$10-SUM($L$34:$L$51))))))+IF(AND($D$8=Variables!$B$4,'Sim Reg N° 800'!$D$15="SI"),PPMT($D$18,B222-24,$K$9-24,-$J$10-SUM($M$34:$M$57))))</f>
        <v>319.39163223134523</v>
      </c>
      <c r="E222" s="14">
        <f>IF(B222&gt;$K$9,"",IF($D$8=Variables!$B$3,IPMT($D$18,B222,$K$9,-$J$10),IF($D$8=Variables!$B$6,IPMT($D$18,B222,$K$9,-$J$10),IF($D$8=Variables!$B$5,IPMT($D$18,B222-12,$K$9-12,-$C$45),IF(AND($D$8=Variables!$B$4,$D$15="si"),0,IPMT($D$18,B222-18,$K$9-18,-$J$10-SUM($L$34:$L$51))))))+IF(AND($D$8=Variables!$B$4,'Sim Reg N° 800'!$D$15="SI"),IPMT($D$18,B222-24,$K$9-24,-$J$10-SUM($M$34:$M$57))))</f>
        <v>288.63073955971151</v>
      </c>
      <c r="F222" s="14">
        <f>IF(B222&gt;$K$9,"",IF(AND($D$8=Variables!$B$3,$D$12="SI",$D$19="NO",$D$13="SI",B222&gt;=7),(PMT(0.06/12,$K$9,-$C$33)-PMT(0.045/12,$K$9,-$C$33)),IF(AND($D$8=Variables!$B$5,$D$19="NO",$D$12="SI",$D$13="SI",B222&gt;12),(PMT(0.06/12,$K$9,-$C$45)-PMT(0.045/12,$K$9,-$C$45)),IF(AND($D$8=Variables!$B$4,$D$12="SI",$D$19="NO",$D$13="SI",$D$15="NO",B222&gt;18),(PMT(0.06/12,$K$9,-$C$51)-PMT(0.045/12,$K$9,-$C$51)),IF(AND($D$8=Variables!$B$4,$D$12="SI",$D$19="NO",$D$13="SI",$D$15="SI",B222&gt;24),(PMT(0.06/12,$K$9,-$C$57)-PMT(0.045/12,$K$9,-$C$57)),0)))))</f>
        <v>111.43825839224587</v>
      </c>
      <c r="G222" s="14">
        <f>+IF(B222&gt;$K$9,"",IF($D$8=Variables!$B$6,0.21*IPMT('Sim Reg N° 800'!$D$18,'Sim Reg N° 800'!B222,'Sim Reg N° 800'!$K$9,-'Sim Reg N° 800'!$J$10),0))+F222*0.21</f>
        <v>23.402034262371632</v>
      </c>
      <c r="H222" s="14">
        <f t="shared" si="16"/>
        <v>742.86266444567423</v>
      </c>
      <c r="I222" s="14">
        <f t="shared" ref="I222:I285" si="19">+IF(B222&gt;$K$9,"",I210)</f>
        <v>0</v>
      </c>
      <c r="J222" s="14">
        <f t="shared" ref="J222:J285" si="20">+IF(B222&gt;$K$9,"",I222+H222)</f>
        <v>742.86266444567423</v>
      </c>
      <c r="K222" s="26">
        <f t="shared" si="17"/>
        <v>222.85879933370225</v>
      </c>
      <c r="L222" s="21"/>
      <c r="M222" s="19"/>
      <c r="R222" s="20"/>
    </row>
    <row r="223" spans="1:18" hidden="1" x14ac:dyDescent="0.2">
      <c r="A223" s="7"/>
      <c r="B223" s="42">
        <v>190</v>
      </c>
      <c r="C223" s="14">
        <f t="shared" si="18"/>
        <v>76328.216232839521</v>
      </c>
      <c r="D223" s="14">
        <f>IF(B223&gt;$K$9,"",IF($D$8=Variables!$B$3,PPMT($D$18,B223,$K$9,-$J$10),IF($D$8=Variables!$B$6,PPMT($D$18,B223,$K$9,-$J$10),IF($D$8=Variables!$B$5,PPMT($D$18,B223-12,$K$9-12,-$C$45),IF(AND($D$8=Variables!$B$4,$D$15="si"),0,PPMT($D$18,B223-18,$K$9-18,-$J$10-SUM($L$34:$L$51))))))+IF(AND($D$8=Variables!$B$4,'Sim Reg N° 800'!$D$15="SI"),PPMT($D$18,B223-24,$K$9-24,-$J$10-SUM($M$34:$M$57))))</f>
        <v>320.58935085221282</v>
      </c>
      <c r="E223" s="14">
        <f>IF(B223&gt;$K$9,"",IF($D$8=Variables!$B$3,IPMT($D$18,B223,$K$9,-$J$10),IF($D$8=Variables!$B$6,IPMT($D$18,B223,$K$9,-$J$10),IF($D$8=Variables!$B$5,IPMT($D$18,B223-12,$K$9-12,-$C$45),IF(AND($D$8=Variables!$B$4,$D$15="si"),0,IPMT($D$18,B223-18,$K$9-18,-$J$10-SUM($L$34:$L$51))))))+IF(AND($D$8=Variables!$B$4,'Sim Reg N° 800'!$D$15="SI"),IPMT($D$18,B223-24,$K$9-24,-$J$10-SUM($M$34:$M$57))))</f>
        <v>287.43302093884392</v>
      </c>
      <c r="F223" s="14">
        <f>IF(B223&gt;$K$9,"",IF(AND($D$8=Variables!$B$3,$D$12="SI",$D$19="NO",$D$13="SI",B223&gt;=7),(PMT(0.06/12,$K$9,-$C$33)-PMT(0.045/12,$K$9,-$C$33)),IF(AND($D$8=Variables!$B$5,$D$19="NO",$D$12="SI",$D$13="SI",B223&gt;12),(PMT(0.06/12,$K$9,-$C$45)-PMT(0.045/12,$K$9,-$C$45)),IF(AND($D$8=Variables!$B$4,$D$12="SI",$D$19="NO",$D$13="SI",$D$15="NO",B223&gt;18),(PMT(0.06/12,$K$9,-$C$51)-PMT(0.045/12,$K$9,-$C$51)),IF(AND($D$8=Variables!$B$4,$D$12="SI",$D$19="NO",$D$13="SI",$D$15="SI",B223&gt;24),(PMT(0.06/12,$K$9,-$C$57)-PMT(0.045/12,$K$9,-$C$57)),0)))))</f>
        <v>111.43825839224587</v>
      </c>
      <c r="G223" s="14">
        <f>+IF(B223&gt;$K$9,"",IF($D$8=Variables!$B$6,0.21*IPMT('Sim Reg N° 800'!$D$18,'Sim Reg N° 800'!B223,'Sim Reg N° 800'!$K$9,-'Sim Reg N° 800'!$J$10),0))+F223*0.21</f>
        <v>23.402034262371632</v>
      </c>
      <c r="H223" s="14">
        <f t="shared" ref="H223:H286" si="21">IF(B223&gt;$K$9,"",(G223+E223+D223+F223))</f>
        <v>742.86266444567423</v>
      </c>
      <c r="I223" s="14">
        <f t="shared" si="19"/>
        <v>0</v>
      </c>
      <c r="J223" s="14">
        <f t="shared" si="20"/>
        <v>742.86266444567423</v>
      </c>
      <c r="K223" s="26">
        <f t="shared" si="17"/>
        <v>222.85879933370225</v>
      </c>
      <c r="L223" s="21"/>
      <c r="M223" s="19"/>
      <c r="R223" s="20"/>
    </row>
    <row r="224" spans="1:18" hidden="1" x14ac:dyDescent="0.2">
      <c r="A224" s="7"/>
      <c r="B224" s="42">
        <v>191</v>
      </c>
      <c r="C224" s="14">
        <f t="shared" si="18"/>
        <v>76006.424671921617</v>
      </c>
      <c r="D224" s="14">
        <f>IF(B224&gt;$K$9,"",IF($D$8=Variables!$B$3,PPMT($D$18,B224,$K$9,-$J$10),IF($D$8=Variables!$B$6,PPMT($D$18,B224,$K$9,-$J$10),IF($D$8=Variables!$B$5,PPMT($D$18,B224-12,$K$9-12,-$C$45),IF(AND($D$8=Variables!$B$4,$D$15="si"),0,PPMT($D$18,B224-18,$K$9-18,-$J$10-SUM($L$34:$L$51))))))+IF(AND($D$8=Variables!$B$4,'Sim Reg N° 800'!$D$15="SI"),PPMT($D$18,B224-24,$K$9-24,-$J$10-SUM($M$34:$M$57))))</f>
        <v>321.79156091790867</v>
      </c>
      <c r="E224" s="14">
        <f>IF(B224&gt;$K$9,"",IF($D$8=Variables!$B$3,IPMT($D$18,B224,$K$9,-$J$10),IF($D$8=Variables!$B$6,IPMT($D$18,B224,$K$9,-$J$10),IF($D$8=Variables!$B$5,IPMT($D$18,B224-12,$K$9-12,-$C$45),IF(AND($D$8=Variables!$B$4,$D$15="si"),0,IPMT($D$18,B224-18,$K$9-18,-$J$10-SUM($L$34:$L$51))))))+IF(AND($D$8=Variables!$B$4,'Sim Reg N° 800'!$D$15="SI"),IPMT($D$18,B224-24,$K$9-24,-$J$10-SUM($M$34:$M$57))))</f>
        <v>286.23081087314824</v>
      </c>
      <c r="F224" s="14">
        <f>IF(B224&gt;$K$9,"",IF(AND($D$8=Variables!$B$3,$D$12="SI",$D$19="NO",$D$13="SI",B224&gt;=7),(PMT(0.06/12,$K$9,-$C$33)-PMT(0.045/12,$K$9,-$C$33)),IF(AND($D$8=Variables!$B$5,$D$19="NO",$D$12="SI",$D$13="SI",B224&gt;12),(PMT(0.06/12,$K$9,-$C$45)-PMT(0.045/12,$K$9,-$C$45)),IF(AND($D$8=Variables!$B$4,$D$12="SI",$D$19="NO",$D$13="SI",$D$15="NO",B224&gt;18),(PMT(0.06/12,$K$9,-$C$51)-PMT(0.045/12,$K$9,-$C$51)),IF(AND($D$8=Variables!$B$4,$D$12="SI",$D$19="NO",$D$13="SI",$D$15="SI",B224&gt;24),(PMT(0.06/12,$K$9,-$C$57)-PMT(0.045/12,$K$9,-$C$57)),0)))))</f>
        <v>111.43825839224587</v>
      </c>
      <c r="G224" s="14">
        <f>+IF(B224&gt;$K$9,"",IF($D$8=Variables!$B$6,0.21*IPMT('Sim Reg N° 800'!$D$18,'Sim Reg N° 800'!B224,'Sim Reg N° 800'!$K$9,-'Sim Reg N° 800'!$J$10),0))+F224*0.21</f>
        <v>23.402034262371632</v>
      </c>
      <c r="H224" s="14">
        <f t="shared" si="21"/>
        <v>742.86266444567445</v>
      </c>
      <c r="I224" s="14">
        <f t="shared" si="19"/>
        <v>0</v>
      </c>
      <c r="J224" s="14">
        <f t="shared" si="20"/>
        <v>742.86266444567445</v>
      </c>
      <c r="K224" s="26">
        <f t="shared" si="17"/>
        <v>222.85879933370234</v>
      </c>
      <c r="L224" s="21"/>
      <c r="M224" s="19"/>
      <c r="R224" s="20"/>
    </row>
    <row r="225" spans="1:18" hidden="1" x14ac:dyDescent="0.2">
      <c r="A225" s="7"/>
      <c r="B225" s="42">
        <v>192</v>
      </c>
      <c r="C225" s="14">
        <f t="shared" si="18"/>
        <v>75683.426392650261</v>
      </c>
      <c r="D225" s="14">
        <f>IF(B225&gt;$K$9,"",IF($D$8=Variables!$B$3,PPMT($D$18,B225,$K$9,-$J$10),IF($D$8=Variables!$B$6,PPMT($D$18,B225,$K$9,-$J$10),IF($D$8=Variables!$B$5,PPMT($D$18,B225-12,$K$9-12,-$C$45),IF(AND($D$8=Variables!$B$4,$D$15="si"),0,PPMT($D$18,B225-18,$K$9-18,-$J$10-SUM($L$34:$L$51))))))+IF(AND($D$8=Variables!$B$4,'Sim Reg N° 800'!$D$15="SI"),PPMT($D$18,B225-24,$K$9-24,-$J$10-SUM($M$34:$M$57))))</f>
        <v>322.99827927135078</v>
      </c>
      <c r="E225" s="14">
        <f>IF(B225&gt;$K$9,"",IF($D$8=Variables!$B$3,IPMT($D$18,B225,$K$9,-$J$10),IF($D$8=Variables!$B$6,IPMT($D$18,B225,$K$9,-$J$10),IF($D$8=Variables!$B$5,IPMT($D$18,B225-12,$K$9-12,-$C$45),IF(AND($D$8=Variables!$B$4,$D$15="si"),0,IPMT($D$18,B225-18,$K$9-18,-$J$10-SUM($L$34:$L$51))))))+IF(AND($D$8=Variables!$B$4,'Sim Reg N° 800'!$D$15="SI"),IPMT($D$18,B225-24,$K$9-24,-$J$10-SUM($M$34:$M$57))))</f>
        <v>285.02409251970607</v>
      </c>
      <c r="F225" s="14">
        <f>IF(B225&gt;$K$9,"",IF(AND($D$8=Variables!$B$3,$D$12="SI",$D$19="NO",$D$13="SI",B225&gt;=7),(PMT(0.06/12,$K$9,-$C$33)-PMT(0.045/12,$K$9,-$C$33)),IF(AND($D$8=Variables!$B$5,$D$19="NO",$D$12="SI",$D$13="SI",B225&gt;12),(PMT(0.06/12,$K$9,-$C$45)-PMT(0.045/12,$K$9,-$C$45)),IF(AND($D$8=Variables!$B$4,$D$12="SI",$D$19="NO",$D$13="SI",$D$15="NO",B225&gt;18),(PMT(0.06/12,$K$9,-$C$51)-PMT(0.045/12,$K$9,-$C$51)),IF(AND($D$8=Variables!$B$4,$D$12="SI",$D$19="NO",$D$13="SI",$D$15="SI",B225&gt;24),(PMT(0.06/12,$K$9,-$C$57)-PMT(0.045/12,$K$9,-$C$57)),0)))))</f>
        <v>111.43825839224587</v>
      </c>
      <c r="G225" s="14">
        <f>+IF(B225&gt;$K$9,"",IF($D$8=Variables!$B$6,0.21*IPMT('Sim Reg N° 800'!$D$18,'Sim Reg N° 800'!B225,'Sim Reg N° 800'!$K$9,-'Sim Reg N° 800'!$J$10),0))+F225*0.21</f>
        <v>23.402034262371632</v>
      </c>
      <c r="H225" s="14">
        <f t="shared" si="21"/>
        <v>742.86266444567434</v>
      </c>
      <c r="I225" s="14">
        <f t="shared" si="19"/>
        <v>0</v>
      </c>
      <c r="J225" s="14">
        <f t="shared" si="20"/>
        <v>742.86266444567434</v>
      </c>
      <c r="K225" s="26">
        <f t="shared" si="17"/>
        <v>222.85879933370231</v>
      </c>
      <c r="L225" s="21"/>
      <c r="M225" s="19"/>
      <c r="R225" s="20"/>
    </row>
    <row r="226" spans="1:18" hidden="1" x14ac:dyDescent="0.2">
      <c r="A226" s="7"/>
      <c r="B226" s="42">
        <v>193</v>
      </c>
      <c r="C226" s="14">
        <f t="shared" si="18"/>
        <v>75359.216869831638</v>
      </c>
      <c r="D226" s="14">
        <f>IF(B226&gt;$K$9,"",IF($D$8=Variables!$B$3,PPMT($D$18,B226,$K$9,-$J$10),IF($D$8=Variables!$B$6,PPMT($D$18,B226,$K$9,-$J$10),IF($D$8=Variables!$B$5,PPMT($D$18,B226-12,$K$9-12,-$C$45),IF(AND($D$8=Variables!$B$4,$D$15="si"),0,PPMT($D$18,B226-18,$K$9-18,-$J$10-SUM($L$34:$L$51))))))+IF(AND($D$8=Variables!$B$4,'Sim Reg N° 800'!$D$15="SI"),PPMT($D$18,B226-24,$K$9-24,-$J$10-SUM($M$34:$M$57))))</f>
        <v>324.20952281861838</v>
      </c>
      <c r="E226" s="14">
        <f>IF(B226&gt;$K$9,"",IF($D$8=Variables!$B$3,IPMT($D$18,B226,$K$9,-$J$10),IF($D$8=Variables!$B$6,IPMT($D$18,B226,$K$9,-$J$10),IF($D$8=Variables!$B$5,IPMT($D$18,B226-12,$K$9-12,-$C$45),IF(AND($D$8=Variables!$B$4,$D$15="si"),0,IPMT($D$18,B226-18,$K$9-18,-$J$10-SUM($L$34:$L$51))))))+IF(AND($D$8=Variables!$B$4,'Sim Reg N° 800'!$D$15="SI"),IPMT($D$18,B226-24,$K$9-24,-$J$10-SUM($M$34:$M$57))))</f>
        <v>283.81284897243853</v>
      </c>
      <c r="F226" s="14">
        <f>IF(B226&gt;$K$9,"",IF(AND($D$8=Variables!$B$3,$D$12="SI",$D$19="NO",$D$13="SI",B226&gt;=7),(PMT(0.06/12,$K$9,-$C$33)-PMT(0.045/12,$K$9,-$C$33)),IF(AND($D$8=Variables!$B$5,$D$19="NO",$D$12="SI",$D$13="SI",B226&gt;12),(PMT(0.06/12,$K$9,-$C$45)-PMT(0.045/12,$K$9,-$C$45)),IF(AND($D$8=Variables!$B$4,$D$12="SI",$D$19="NO",$D$13="SI",$D$15="NO",B226&gt;18),(PMT(0.06/12,$K$9,-$C$51)-PMT(0.045/12,$K$9,-$C$51)),IF(AND($D$8=Variables!$B$4,$D$12="SI",$D$19="NO",$D$13="SI",$D$15="SI",B226&gt;24),(PMT(0.06/12,$K$9,-$C$57)-PMT(0.045/12,$K$9,-$C$57)),0)))))</f>
        <v>111.43825839224587</v>
      </c>
      <c r="G226" s="14">
        <f>+IF(B226&gt;$K$9,"",IF($D$8=Variables!$B$6,0.21*IPMT('Sim Reg N° 800'!$D$18,'Sim Reg N° 800'!B226,'Sim Reg N° 800'!$K$9,-'Sim Reg N° 800'!$J$10),0))+F226*0.21</f>
        <v>23.402034262371632</v>
      </c>
      <c r="H226" s="14">
        <f t="shared" si="21"/>
        <v>742.86266444567445</v>
      </c>
      <c r="I226" s="14">
        <f t="shared" si="19"/>
        <v>95.999999999999986</v>
      </c>
      <c r="J226" s="14">
        <f t="shared" si="20"/>
        <v>838.86266444567445</v>
      </c>
      <c r="K226" s="26">
        <f t="shared" si="17"/>
        <v>251.65879933370232</v>
      </c>
      <c r="L226" s="21"/>
      <c r="M226" s="19"/>
      <c r="R226" s="20"/>
    </row>
    <row r="227" spans="1:18" hidden="1" x14ac:dyDescent="0.2">
      <c r="A227" s="7"/>
      <c r="B227" s="42">
        <v>194</v>
      </c>
      <c r="C227" s="14">
        <f t="shared" si="18"/>
        <v>75033.791561302452</v>
      </c>
      <c r="D227" s="14">
        <f>IF(B227&gt;$K$9,"",IF($D$8=Variables!$B$3,PPMT($D$18,B227,$K$9,-$J$10),IF($D$8=Variables!$B$6,PPMT($D$18,B227,$K$9,-$J$10),IF($D$8=Variables!$B$5,PPMT($D$18,B227-12,$K$9-12,-$C$45),IF(AND($D$8=Variables!$B$4,$D$15="si"),0,PPMT($D$18,B227-18,$K$9-18,-$J$10-SUM($L$34:$L$51))))))+IF(AND($D$8=Variables!$B$4,'Sim Reg N° 800'!$D$15="SI"),PPMT($D$18,B227-24,$K$9-24,-$J$10-SUM($M$34:$M$57))))</f>
        <v>325.42530852918816</v>
      </c>
      <c r="E227" s="14">
        <f>IF(B227&gt;$K$9,"",IF($D$8=Variables!$B$3,IPMT($D$18,B227,$K$9,-$J$10),IF($D$8=Variables!$B$6,IPMT($D$18,B227,$K$9,-$J$10),IF($D$8=Variables!$B$5,IPMT($D$18,B227-12,$K$9-12,-$C$45),IF(AND($D$8=Variables!$B$4,$D$15="si"),0,IPMT($D$18,B227-18,$K$9-18,-$J$10-SUM($L$34:$L$51))))))+IF(AND($D$8=Variables!$B$4,'Sim Reg N° 800'!$D$15="SI"),IPMT($D$18,B227-24,$K$9-24,-$J$10-SUM($M$34:$M$57))))</f>
        <v>282.59706326186864</v>
      </c>
      <c r="F227" s="14">
        <f>IF(B227&gt;$K$9,"",IF(AND($D$8=Variables!$B$3,$D$12="SI",$D$19="NO",$D$13="SI",B227&gt;=7),(PMT(0.06/12,$K$9,-$C$33)-PMT(0.045/12,$K$9,-$C$33)),IF(AND($D$8=Variables!$B$5,$D$19="NO",$D$12="SI",$D$13="SI",B227&gt;12),(PMT(0.06/12,$K$9,-$C$45)-PMT(0.045/12,$K$9,-$C$45)),IF(AND($D$8=Variables!$B$4,$D$12="SI",$D$19="NO",$D$13="SI",$D$15="NO",B227&gt;18),(PMT(0.06/12,$K$9,-$C$51)-PMT(0.045/12,$K$9,-$C$51)),IF(AND($D$8=Variables!$B$4,$D$12="SI",$D$19="NO",$D$13="SI",$D$15="SI",B227&gt;24),(PMT(0.06/12,$K$9,-$C$57)-PMT(0.045/12,$K$9,-$C$57)),0)))))</f>
        <v>111.43825839224587</v>
      </c>
      <c r="G227" s="14">
        <f>+IF(B227&gt;$K$9,"",IF($D$8=Variables!$B$6,0.21*IPMT('Sim Reg N° 800'!$D$18,'Sim Reg N° 800'!B227,'Sim Reg N° 800'!$K$9,-'Sim Reg N° 800'!$J$10),0))+F227*0.21</f>
        <v>23.402034262371632</v>
      </c>
      <c r="H227" s="14">
        <f t="shared" si="21"/>
        <v>742.86266444567423</v>
      </c>
      <c r="I227" s="14">
        <f t="shared" si="19"/>
        <v>0</v>
      </c>
      <c r="J227" s="14">
        <f t="shared" si="20"/>
        <v>742.86266444567423</v>
      </c>
      <c r="K227" s="26">
        <f t="shared" ref="K227:K290" si="22">+IF(J227="","",J227*0.3)</f>
        <v>222.85879933370225</v>
      </c>
      <c r="L227" s="21"/>
      <c r="M227" s="19"/>
      <c r="R227" s="20"/>
    </row>
    <row r="228" spans="1:18" hidden="1" x14ac:dyDescent="0.2">
      <c r="A228" s="7"/>
      <c r="B228" s="42">
        <v>195</v>
      </c>
      <c r="C228" s="14">
        <f t="shared" si="18"/>
        <v>74707.145907866274</v>
      </c>
      <c r="D228" s="14">
        <f>IF(B228&gt;$K$9,"",IF($D$8=Variables!$B$3,PPMT($D$18,B228,$K$9,-$J$10),IF($D$8=Variables!$B$6,PPMT($D$18,B228,$K$9,-$J$10),IF($D$8=Variables!$B$5,PPMT($D$18,B228-12,$K$9-12,-$C$45),IF(AND($D$8=Variables!$B$4,$D$15="si"),0,PPMT($D$18,B228-18,$K$9-18,-$J$10-SUM($L$34:$L$51))))))+IF(AND($D$8=Variables!$B$4,'Sim Reg N° 800'!$D$15="SI"),PPMT($D$18,B228-24,$K$9-24,-$J$10-SUM($M$34:$M$57))))</f>
        <v>326.64565343617267</v>
      </c>
      <c r="E228" s="14">
        <f>IF(B228&gt;$K$9,"",IF($D$8=Variables!$B$3,IPMT($D$18,B228,$K$9,-$J$10),IF($D$8=Variables!$B$6,IPMT($D$18,B228,$K$9,-$J$10),IF($D$8=Variables!$B$5,IPMT($D$18,B228-12,$K$9-12,-$C$45),IF(AND($D$8=Variables!$B$4,$D$15="si"),0,IPMT($D$18,B228-18,$K$9-18,-$J$10-SUM($L$34:$L$51))))))+IF(AND($D$8=Variables!$B$4,'Sim Reg N° 800'!$D$15="SI"),IPMT($D$18,B228-24,$K$9-24,-$J$10-SUM($M$34:$M$57))))</f>
        <v>281.37671835488425</v>
      </c>
      <c r="F228" s="14">
        <f>IF(B228&gt;$K$9,"",IF(AND($D$8=Variables!$B$3,$D$12="SI",$D$19="NO",$D$13="SI",B228&gt;=7),(PMT(0.06/12,$K$9,-$C$33)-PMT(0.045/12,$K$9,-$C$33)),IF(AND($D$8=Variables!$B$5,$D$19="NO",$D$12="SI",$D$13="SI",B228&gt;12),(PMT(0.06/12,$K$9,-$C$45)-PMT(0.045/12,$K$9,-$C$45)),IF(AND($D$8=Variables!$B$4,$D$12="SI",$D$19="NO",$D$13="SI",$D$15="NO",B228&gt;18),(PMT(0.06/12,$K$9,-$C$51)-PMT(0.045/12,$K$9,-$C$51)),IF(AND($D$8=Variables!$B$4,$D$12="SI",$D$19="NO",$D$13="SI",$D$15="SI",B228&gt;24),(PMT(0.06/12,$K$9,-$C$57)-PMT(0.045/12,$K$9,-$C$57)),0)))))</f>
        <v>111.43825839224587</v>
      </c>
      <c r="G228" s="14">
        <f>+IF(B228&gt;$K$9,"",IF($D$8=Variables!$B$6,0.21*IPMT('Sim Reg N° 800'!$D$18,'Sim Reg N° 800'!B228,'Sim Reg N° 800'!$K$9,-'Sim Reg N° 800'!$J$10),0))+F228*0.21</f>
        <v>23.402034262371632</v>
      </c>
      <c r="H228" s="14">
        <f t="shared" si="21"/>
        <v>742.86266444567445</v>
      </c>
      <c r="I228" s="14">
        <f t="shared" si="19"/>
        <v>0</v>
      </c>
      <c r="J228" s="14">
        <f t="shared" si="20"/>
        <v>742.86266444567445</v>
      </c>
      <c r="K228" s="26">
        <f t="shared" si="22"/>
        <v>222.85879933370234</v>
      </c>
      <c r="L228" s="21"/>
      <c r="M228" s="19"/>
      <c r="R228" s="20"/>
    </row>
    <row r="229" spans="1:18" hidden="1" x14ac:dyDescent="0.2">
      <c r="A229" s="7"/>
      <c r="B229" s="42">
        <v>196</v>
      </c>
      <c r="C229" s="14">
        <f t="shared" si="18"/>
        <v>74379.275333229714</v>
      </c>
      <c r="D229" s="14">
        <f>IF(B229&gt;$K$9,"",IF($D$8=Variables!$B$3,PPMT($D$18,B229,$K$9,-$J$10),IF($D$8=Variables!$B$6,PPMT($D$18,B229,$K$9,-$J$10),IF($D$8=Variables!$B$5,PPMT($D$18,B229-12,$K$9-12,-$C$45),IF(AND($D$8=Variables!$B$4,$D$15="si"),0,PPMT($D$18,B229-18,$K$9-18,-$J$10-SUM($L$34:$L$51))))))+IF(AND($D$8=Variables!$B$4,'Sim Reg N° 800'!$D$15="SI"),PPMT($D$18,B229-24,$K$9-24,-$J$10-SUM($M$34:$M$57))))</f>
        <v>327.87057463655833</v>
      </c>
      <c r="E229" s="14">
        <f>IF(B229&gt;$K$9,"",IF($D$8=Variables!$B$3,IPMT($D$18,B229,$K$9,-$J$10),IF($D$8=Variables!$B$6,IPMT($D$18,B229,$K$9,-$J$10),IF($D$8=Variables!$B$5,IPMT($D$18,B229-12,$K$9-12,-$C$45),IF(AND($D$8=Variables!$B$4,$D$15="si"),0,IPMT($D$18,B229-18,$K$9-18,-$J$10-SUM($L$34:$L$51))))))+IF(AND($D$8=Variables!$B$4,'Sim Reg N° 800'!$D$15="SI"),IPMT($D$18,B229-24,$K$9-24,-$J$10-SUM($M$34:$M$57))))</f>
        <v>280.15179715449852</v>
      </c>
      <c r="F229" s="14">
        <f>IF(B229&gt;$K$9,"",IF(AND($D$8=Variables!$B$3,$D$12="SI",$D$19="NO",$D$13="SI",B229&gt;=7),(PMT(0.06/12,$K$9,-$C$33)-PMT(0.045/12,$K$9,-$C$33)),IF(AND($D$8=Variables!$B$5,$D$19="NO",$D$12="SI",$D$13="SI",B229&gt;12),(PMT(0.06/12,$K$9,-$C$45)-PMT(0.045/12,$K$9,-$C$45)),IF(AND($D$8=Variables!$B$4,$D$12="SI",$D$19="NO",$D$13="SI",$D$15="NO",B229&gt;18),(PMT(0.06/12,$K$9,-$C$51)-PMT(0.045/12,$K$9,-$C$51)),IF(AND($D$8=Variables!$B$4,$D$12="SI",$D$19="NO",$D$13="SI",$D$15="SI",B229&gt;24),(PMT(0.06/12,$K$9,-$C$57)-PMT(0.045/12,$K$9,-$C$57)),0)))))</f>
        <v>111.43825839224587</v>
      </c>
      <c r="G229" s="14">
        <f>+IF(B229&gt;$K$9,"",IF($D$8=Variables!$B$6,0.21*IPMT('Sim Reg N° 800'!$D$18,'Sim Reg N° 800'!B229,'Sim Reg N° 800'!$K$9,-'Sim Reg N° 800'!$J$10),0))+F229*0.21</f>
        <v>23.402034262371632</v>
      </c>
      <c r="H229" s="14">
        <f t="shared" si="21"/>
        <v>742.86266444567434</v>
      </c>
      <c r="I229" s="14">
        <f t="shared" si="19"/>
        <v>0</v>
      </c>
      <c r="J229" s="14">
        <f t="shared" si="20"/>
        <v>742.86266444567434</v>
      </c>
      <c r="K229" s="26">
        <f t="shared" si="22"/>
        <v>222.85879933370231</v>
      </c>
      <c r="L229" s="21"/>
      <c r="M229" s="19"/>
      <c r="R229" s="20"/>
    </row>
    <row r="230" spans="1:18" hidden="1" x14ac:dyDescent="0.2">
      <c r="A230" s="7"/>
      <c r="B230" s="42">
        <v>197</v>
      </c>
      <c r="C230" s="14">
        <f t="shared" si="18"/>
        <v>74050.175243938269</v>
      </c>
      <c r="D230" s="14">
        <f>IF(B230&gt;$K$9,"",IF($D$8=Variables!$B$3,PPMT($D$18,B230,$K$9,-$J$10),IF($D$8=Variables!$B$6,PPMT($D$18,B230,$K$9,-$J$10),IF($D$8=Variables!$B$5,PPMT($D$18,B230-12,$K$9-12,-$C$45),IF(AND($D$8=Variables!$B$4,$D$15="si"),0,PPMT($D$18,B230-18,$K$9-18,-$J$10-SUM($L$34:$L$51))))))+IF(AND($D$8=Variables!$B$4,'Sim Reg N° 800'!$D$15="SI"),PPMT($D$18,B230-24,$K$9-24,-$J$10-SUM($M$34:$M$57))))</f>
        <v>329.10008929144539</v>
      </c>
      <c r="E230" s="14">
        <f>IF(B230&gt;$K$9,"",IF($D$8=Variables!$B$3,IPMT($D$18,B230,$K$9,-$J$10),IF($D$8=Variables!$B$6,IPMT($D$18,B230,$K$9,-$J$10),IF($D$8=Variables!$B$5,IPMT($D$18,B230-12,$K$9-12,-$C$45),IF(AND($D$8=Variables!$B$4,$D$15="si"),0,IPMT($D$18,B230-18,$K$9-18,-$J$10-SUM($L$34:$L$51))))))+IF(AND($D$8=Variables!$B$4,'Sim Reg N° 800'!$D$15="SI"),IPMT($D$18,B230-24,$K$9-24,-$J$10-SUM($M$34:$M$57))))</f>
        <v>278.92228249961147</v>
      </c>
      <c r="F230" s="14">
        <f>IF(B230&gt;$K$9,"",IF(AND($D$8=Variables!$B$3,$D$12="SI",$D$19="NO",$D$13="SI",B230&gt;=7),(PMT(0.06/12,$K$9,-$C$33)-PMT(0.045/12,$K$9,-$C$33)),IF(AND($D$8=Variables!$B$5,$D$19="NO",$D$12="SI",$D$13="SI",B230&gt;12),(PMT(0.06/12,$K$9,-$C$45)-PMT(0.045/12,$K$9,-$C$45)),IF(AND($D$8=Variables!$B$4,$D$12="SI",$D$19="NO",$D$13="SI",$D$15="NO",B230&gt;18),(PMT(0.06/12,$K$9,-$C$51)-PMT(0.045/12,$K$9,-$C$51)),IF(AND($D$8=Variables!$B$4,$D$12="SI",$D$19="NO",$D$13="SI",$D$15="SI",B230&gt;24),(PMT(0.06/12,$K$9,-$C$57)-PMT(0.045/12,$K$9,-$C$57)),0)))))</f>
        <v>111.43825839224587</v>
      </c>
      <c r="G230" s="14">
        <f>+IF(B230&gt;$K$9,"",IF($D$8=Variables!$B$6,0.21*IPMT('Sim Reg N° 800'!$D$18,'Sim Reg N° 800'!B230,'Sim Reg N° 800'!$K$9,-'Sim Reg N° 800'!$J$10),0))+F230*0.21</f>
        <v>23.402034262371632</v>
      </c>
      <c r="H230" s="14">
        <f t="shared" si="21"/>
        <v>742.86266444567434</v>
      </c>
      <c r="I230" s="14">
        <f t="shared" si="19"/>
        <v>0</v>
      </c>
      <c r="J230" s="14">
        <f t="shared" si="20"/>
        <v>742.86266444567434</v>
      </c>
      <c r="K230" s="26">
        <f t="shared" si="22"/>
        <v>222.85879933370231</v>
      </c>
      <c r="L230" s="21"/>
      <c r="M230" s="19"/>
      <c r="R230" s="20"/>
    </row>
    <row r="231" spans="1:18" hidden="1" x14ac:dyDescent="0.2">
      <c r="A231" s="7"/>
      <c r="B231" s="42">
        <v>198</v>
      </c>
      <c r="C231" s="14">
        <f t="shared" si="18"/>
        <v>73719.841029311981</v>
      </c>
      <c r="D231" s="14">
        <f>IF(B231&gt;$K$9,"",IF($D$8=Variables!$B$3,PPMT($D$18,B231,$K$9,-$J$10),IF($D$8=Variables!$B$6,PPMT($D$18,B231,$K$9,-$J$10),IF($D$8=Variables!$B$5,PPMT($D$18,B231-12,$K$9-12,-$C$45),IF(AND($D$8=Variables!$B$4,$D$15="si"),0,PPMT($D$18,B231-18,$K$9-18,-$J$10-SUM($L$34:$L$51))))))+IF(AND($D$8=Variables!$B$4,'Sim Reg N° 800'!$D$15="SI"),PPMT($D$18,B231-24,$K$9-24,-$J$10-SUM($M$34:$M$57))))</f>
        <v>330.33421462628831</v>
      </c>
      <c r="E231" s="14">
        <f>IF(B231&gt;$K$9,"",IF($D$8=Variables!$B$3,IPMT($D$18,B231,$K$9,-$J$10),IF($D$8=Variables!$B$6,IPMT($D$18,B231,$K$9,-$J$10),IF($D$8=Variables!$B$5,IPMT($D$18,B231-12,$K$9-12,-$C$45),IF(AND($D$8=Variables!$B$4,$D$15="si"),0,IPMT($D$18,B231-18,$K$9-18,-$J$10-SUM($L$34:$L$51))))))+IF(AND($D$8=Variables!$B$4,'Sim Reg N° 800'!$D$15="SI"),IPMT($D$18,B231-24,$K$9-24,-$J$10-SUM($M$34:$M$57))))</f>
        <v>277.68815716476854</v>
      </c>
      <c r="F231" s="14">
        <f>IF(B231&gt;$K$9,"",IF(AND($D$8=Variables!$B$3,$D$12="SI",$D$19="NO",$D$13="SI",B231&gt;=7),(PMT(0.06/12,$K$9,-$C$33)-PMT(0.045/12,$K$9,-$C$33)),IF(AND($D$8=Variables!$B$5,$D$19="NO",$D$12="SI",$D$13="SI",B231&gt;12),(PMT(0.06/12,$K$9,-$C$45)-PMT(0.045/12,$K$9,-$C$45)),IF(AND($D$8=Variables!$B$4,$D$12="SI",$D$19="NO",$D$13="SI",$D$15="NO",B231&gt;18),(PMT(0.06/12,$K$9,-$C$51)-PMT(0.045/12,$K$9,-$C$51)),IF(AND($D$8=Variables!$B$4,$D$12="SI",$D$19="NO",$D$13="SI",$D$15="SI",B231&gt;24),(PMT(0.06/12,$K$9,-$C$57)-PMT(0.045/12,$K$9,-$C$57)),0)))))</f>
        <v>111.43825839224587</v>
      </c>
      <c r="G231" s="14">
        <f>+IF(B231&gt;$K$9,"",IF($D$8=Variables!$B$6,0.21*IPMT('Sim Reg N° 800'!$D$18,'Sim Reg N° 800'!B231,'Sim Reg N° 800'!$K$9,-'Sim Reg N° 800'!$J$10),0))+F231*0.21</f>
        <v>23.402034262371632</v>
      </c>
      <c r="H231" s="14">
        <f t="shared" si="21"/>
        <v>742.86266444567434</v>
      </c>
      <c r="I231" s="14">
        <f t="shared" si="19"/>
        <v>0</v>
      </c>
      <c r="J231" s="14">
        <f t="shared" si="20"/>
        <v>742.86266444567434</v>
      </c>
      <c r="K231" s="26">
        <f t="shared" si="22"/>
        <v>222.85879933370231</v>
      </c>
      <c r="L231" s="21"/>
      <c r="M231" s="19"/>
      <c r="R231" s="20"/>
    </row>
    <row r="232" spans="1:18" hidden="1" x14ac:dyDescent="0.2">
      <c r="A232" s="7"/>
      <c r="B232" s="42">
        <v>199</v>
      </c>
      <c r="C232" s="14">
        <f t="shared" si="18"/>
        <v>73388.268061380848</v>
      </c>
      <c r="D232" s="14">
        <f>IF(B232&gt;$K$9,"",IF($D$8=Variables!$B$3,PPMT($D$18,B232,$K$9,-$J$10),IF($D$8=Variables!$B$6,PPMT($D$18,B232,$K$9,-$J$10),IF($D$8=Variables!$B$5,PPMT($D$18,B232-12,$K$9-12,-$C$45),IF(AND($D$8=Variables!$B$4,$D$15="si"),0,PPMT($D$18,B232-18,$K$9-18,-$J$10-SUM($L$34:$L$51))))))+IF(AND($D$8=Variables!$B$4,'Sim Reg N° 800'!$D$15="SI"),PPMT($D$18,B232-24,$K$9-24,-$J$10-SUM($M$34:$M$57))))</f>
        <v>331.57296793113687</v>
      </c>
      <c r="E232" s="14">
        <f>IF(B232&gt;$K$9,"",IF($D$8=Variables!$B$3,IPMT($D$18,B232,$K$9,-$J$10),IF($D$8=Variables!$B$6,IPMT($D$18,B232,$K$9,-$J$10),IF($D$8=Variables!$B$5,IPMT($D$18,B232-12,$K$9-12,-$C$45),IF(AND($D$8=Variables!$B$4,$D$15="si"),0,IPMT($D$18,B232-18,$K$9-18,-$J$10-SUM($L$34:$L$51))))))+IF(AND($D$8=Variables!$B$4,'Sim Reg N° 800'!$D$15="SI"),IPMT($D$18,B232-24,$K$9-24,-$J$10-SUM($M$34:$M$57))))</f>
        <v>276.44940385991993</v>
      </c>
      <c r="F232" s="14">
        <f>IF(B232&gt;$K$9,"",IF(AND($D$8=Variables!$B$3,$D$12="SI",$D$19="NO",$D$13="SI",B232&gt;=7),(PMT(0.06/12,$K$9,-$C$33)-PMT(0.045/12,$K$9,-$C$33)),IF(AND($D$8=Variables!$B$5,$D$19="NO",$D$12="SI",$D$13="SI",B232&gt;12),(PMT(0.06/12,$K$9,-$C$45)-PMT(0.045/12,$K$9,-$C$45)),IF(AND($D$8=Variables!$B$4,$D$12="SI",$D$19="NO",$D$13="SI",$D$15="NO",B232&gt;18),(PMT(0.06/12,$K$9,-$C$51)-PMT(0.045/12,$K$9,-$C$51)),IF(AND($D$8=Variables!$B$4,$D$12="SI",$D$19="NO",$D$13="SI",$D$15="SI",B232&gt;24),(PMT(0.06/12,$K$9,-$C$57)-PMT(0.045/12,$K$9,-$C$57)),0)))))</f>
        <v>111.43825839224587</v>
      </c>
      <c r="G232" s="14">
        <f>+IF(B232&gt;$K$9,"",IF($D$8=Variables!$B$6,0.21*IPMT('Sim Reg N° 800'!$D$18,'Sim Reg N° 800'!B232,'Sim Reg N° 800'!$K$9,-'Sim Reg N° 800'!$J$10),0))+F232*0.21</f>
        <v>23.402034262371632</v>
      </c>
      <c r="H232" s="14">
        <f t="shared" si="21"/>
        <v>742.86266444567423</v>
      </c>
      <c r="I232" s="14">
        <f t="shared" si="19"/>
        <v>0</v>
      </c>
      <c r="J232" s="14">
        <f t="shared" si="20"/>
        <v>742.86266444567423</v>
      </c>
      <c r="K232" s="26">
        <f t="shared" si="22"/>
        <v>222.85879933370225</v>
      </c>
      <c r="L232" s="21"/>
      <c r="M232" s="19"/>
      <c r="R232" s="20"/>
    </row>
    <row r="233" spans="1:18" hidden="1" x14ac:dyDescent="0.2">
      <c r="A233" s="7"/>
      <c r="B233" s="42">
        <v>200</v>
      </c>
      <c r="C233" s="14">
        <f t="shared" si="18"/>
        <v>73055.451694819974</v>
      </c>
      <c r="D233" s="14">
        <f>IF(B233&gt;$K$9,"",IF($D$8=Variables!$B$3,PPMT($D$18,B233,$K$9,-$J$10),IF($D$8=Variables!$B$6,PPMT($D$18,B233,$K$9,-$J$10),IF($D$8=Variables!$B$5,PPMT($D$18,B233-12,$K$9-12,-$C$45),IF(AND($D$8=Variables!$B$4,$D$15="si"),0,PPMT($D$18,B233-18,$K$9-18,-$J$10-SUM($L$34:$L$51))))))+IF(AND($D$8=Variables!$B$4,'Sim Reg N° 800'!$D$15="SI"),PPMT($D$18,B233-24,$K$9-24,-$J$10-SUM($M$34:$M$57))))</f>
        <v>332.81636656087869</v>
      </c>
      <c r="E233" s="14">
        <f>IF(B233&gt;$K$9,"",IF($D$8=Variables!$B$3,IPMT($D$18,B233,$K$9,-$J$10),IF($D$8=Variables!$B$6,IPMT($D$18,B233,$K$9,-$J$10),IF($D$8=Variables!$B$5,IPMT($D$18,B233-12,$K$9-12,-$C$45),IF(AND($D$8=Variables!$B$4,$D$15="si"),0,IPMT($D$18,B233-18,$K$9-18,-$J$10-SUM($L$34:$L$51))))))+IF(AND($D$8=Variables!$B$4,'Sim Reg N° 800'!$D$15="SI"),IPMT($D$18,B233-24,$K$9-24,-$J$10-SUM($M$34:$M$57))))</f>
        <v>275.20600523017816</v>
      </c>
      <c r="F233" s="14">
        <f>IF(B233&gt;$K$9,"",IF(AND($D$8=Variables!$B$3,$D$12="SI",$D$19="NO",$D$13="SI",B233&gt;=7),(PMT(0.06/12,$K$9,-$C$33)-PMT(0.045/12,$K$9,-$C$33)),IF(AND($D$8=Variables!$B$5,$D$19="NO",$D$12="SI",$D$13="SI",B233&gt;12),(PMT(0.06/12,$K$9,-$C$45)-PMT(0.045/12,$K$9,-$C$45)),IF(AND($D$8=Variables!$B$4,$D$12="SI",$D$19="NO",$D$13="SI",$D$15="NO",B233&gt;18),(PMT(0.06/12,$K$9,-$C$51)-PMT(0.045/12,$K$9,-$C$51)),IF(AND($D$8=Variables!$B$4,$D$12="SI",$D$19="NO",$D$13="SI",$D$15="SI",B233&gt;24),(PMT(0.06/12,$K$9,-$C$57)-PMT(0.045/12,$K$9,-$C$57)),0)))))</f>
        <v>111.43825839224587</v>
      </c>
      <c r="G233" s="14">
        <f>+IF(B233&gt;$K$9,"",IF($D$8=Variables!$B$6,0.21*IPMT('Sim Reg N° 800'!$D$18,'Sim Reg N° 800'!B233,'Sim Reg N° 800'!$K$9,-'Sim Reg N° 800'!$J$10),0))+F233*0.21</f>
        <v>23.402034262371632</v>
      </c>
      <c r="H233" s="14">
        <f t="shared" si="21"/>
        <v>742.86266444567434</v>
      </c>
      <c r="I233" s="14">
        <f t="shared" si="19"/>
        <v>0</v>
      </c>
      <c r="J233" s="14">
        <f t="shared" si="20"/>
        <v>742.86266444567434</v>
      </c>
      <c r="K233" s="26">
        <f t="shared" si="22"/>
        <v>222.85879933370231</v>
      </c>
      <c r="L233" s="21"/>
      <c r="M233" s="19"/>
      <c r="R233" s="20"/>
    </row>
    <row r="234" spans="1:18" hidden="1" x14ac:dyDescent="0.2">
      <c r="A234" s="7"/>
      <c r="B234" s="42">
        <v>201</v>
      </c>
      <c r="C234" s="14">
        <f t="shared" si="18"/>
        <v>72721.3872668845</v>
      </c>
      <c r="D234" s="14">
        <f>IF(B234&gt;$K$9,"",IF($D$8=Variables!$B$3,PPMT($D$18,B234,$K$9,-$J$10),IF($D$8=Variables!$B$6,PPMT($D$18,B234,$K$9,-$J$10),IF($D$8=Variables!$B$5,PPMT($D$18,B234-12,$K$9-12,-$C$45),IF(AND($D$8=Variables!$B$4,$D$15="si"),0,PPMT($D$18,B234-18,$K$9-18,-$J$10-SUM($L$34:$L$51))))))+IF(AND($D$8=Variables!$B$4,'Sim Reg N° 800'!$D$15="SI"),PPMT($D$18,B234-24,$K$9-24,-$J$10-SUM($M$34:$M$57))))</f>
        <v>334.06442793548189</v>
      </c>
      <c r="E234" s="14">
        <f>IF(B234&gt;$K$9,"",IF($D$8=Variables!$B$3,IPMT($D$18,B234,$K$9,-$J$10),IF($D$8=Variables!$B$6,IPMT($D$18,B234,$K$9,-$J$10),IF($D$8=Variables!$B$5,IPMT($D$18,B234-12,$K$9-12,-$C$45),IF(AND($D$8=Variables!$B$4,$D$15="si"),0,IPMT($D$18,B234-18,$K$9-18,-$J$10-SUM($L$34:$L$51))))))+IF(AND($D$8=Variables!$B$4,'Sim Reg N° 800'!$D$15="SI"),IPMT($D$18,B234-24,$K$9-24,-$J$10-SUM($M$34:$M$57))))</f>
        <v>273.95794385557497</v>
      </c>
      <c r="F234" s="14">
        <f>IF(B234&gt;$K$9,"",IF(AND($D$8=Variables!$B$3,$D$12="SI",$D$19="NO",$D$13="SI",B234&gt;=7),(PMT(0.06/12,$K$9,-$C$33)-PMT(0.045/12,$K$9,-$C$33)),IF(AND($D$8=Variables!$B$5,$D$19="NO",$D$12="SI",$D$13="SI",B234&gt;12),(PMT(0.06/12,$K$9,-$C$45)-PMT(0.045/12,$K$9,-$C$45)),IF(AND($D$8=Variables!$B$4,$D$12="SI",$D$19="NO",$D$13="SI",$D$15="NO",B234&gt;18),(PMT(0.06/12,$K$9,-$C$51)-PMT(0.045/12,$K$9,-$C$51)),IF(AND($D$8=Variables!$B$4,$D$12="SI",$D$19="NO",$D$13="SI",$D$15="SI",B234&gt;24),(PMT(0.06/12,$K$9,-$C$57)-PMT(0.045/12,$K$9,-$C$57)),0)))))</f>
        <v>111.43825839224587</v>
      </c>
      <c r="G234" s="14">
        <f>+IF(B234&gt;$K$9,"",IF($D$8=Variables!$B$6,0.21*IPMT('Sim Reg N° 800'!$D$18,'Sim Reg N° 800'!B234,'Sim Reg N° 800'!$K$9,-'Sim Reg N° 800'!$J$10),0))+F234*0.21</f>
        <v>23.402034262371632</v>
      </c>
      <c r="H234" s="14">
        <f t="shared" si="21"/>
        <v>742.86266444567434</v>
      </c>
      <c r="I234" s="14">
        <f t="shared" si="19"/>
        <v>0</v>
      </c>
      <c r="J234" s="14">
        <f t="shared" si="20"/>
        <v>742.86266444567434</v>
      </c>
      <c r="K234" s="26">
        <f t="shared" si="22"/>
        <v>222.85879933370231</v>
      </c>
      <c r="L234" s="21"/>
      <c r="M234" s="19"/>
      <c r="R234" s="20"/>
    </row>
    <row r="235" spans="1:18" hidden="1" x14ac:dyDescent="0.2">
      <c r="A235" s="7"/>
      <c r="B235" s="42">
        <v>202</v>
      </c>
      <c r="C235" s="14">
        <f t="shared" si="18"/>
        <v>72386.070097344258</v>
      </c>
      <c r="D235" s="14">
        <f>IF(B235&gt;$K$9,"",IF($D$8=Variables!$B$3,PPMT($D$18,B235,$K$9,-$J$10),IF($D$8=Variables!$B$6,PPMT($D$18,B235,$K$9,-$J$10),IF($D$8=Variables!$B$5,PPMT($D$18,B235-12,$K$9-12,-$C$45),IF(AND($D$8=Variables!$B$4,$D$15="si"),0,PPMT($D$18,B235-18,$K$9-18,-$J$10-SUM($L$34:$L$51))))))+IF(AND($D$8=Variables!$B$4,'Sim Reg N° 800'!$D$15="SI"),PPMT($D$18,B235-24,$K$9-24,-$J$10-SUM($M$34:$M$57))))</f>
        <v>335.31716954024</v>
      </c>
      <c r="E235" s="14">
        <f>IF(B235&gt;$K$9,"",IF($D$8=Variables!$B$3,IPMT($D$18,B235,$K$9,-$J$10),IF($D$8=Variables!$B$6,IPMT($D$18,B235,$K$9,-$J$10),IF($D$8=Variables!$B$5,IPMT($D$18,B235-12,$K$9-12,-$C$45),IF(AND($D$8=Variables!$B$4,$D$15="si"),0,IPMT($D$18,B235-18,$K$9-18,-$J$10-SUM($L$34:$L$51))))))+IF(AND($D$8=Variables!$B$4,'Sim Reg N° 800'!$D$15="SI"),IPMT($D$18,B235-24,$K$9-24,-$J$10-SUM($M$34:$M$57))))</f>
        <v>272.70520225081685</v>
      </c>
      <c r="F235" s="14">
        <f>IF(B235&gt;$K$9,"",IF(AND($D$8=Variables!$B$3,$D$12="SI",$D$19="NO",$D$13="SI",B235&gt;=7),(PMT(0.06/12,$K$9,-$C$33)-PMT(0.045/12,$K$9,-$C$33)),IF(AND($D$8=Variables!$B$5,$D$19="NO",$D$12="SI",$D$13="SI",B235&gt;12),(PMT(0.06/12,$K$9,-$C$45)-PMT(0.045/12,$K$9,-$C$45)),IF(AND($D$8=Variables!$B$4,$D$12="SI",$D$19="NO",$D$13="SI",$D$15="NO",B235&gt;18),(PMT(0.06/12,$K$9,-$C$51)-PMT(0.045/12,$K$9,-$C$51)),IF(AND($D$8=Variables!$B$4,$D$12="SI",$D$19="NO",$D$13="SI",$D$15="SI",B235&gt;24),(PMT(0.06/12,$K$9,-$C$57)-PMT(0.045/12,$K$9,-$C$57)),0)))))</f>
        <v>111.43825839224587</v>
      </c>
      <c r="G235" s="14">
        <f>+IF(B235&gt;$K$9,"",IF($D$8=Variables!$B$6,0.21*IPMT('Sim Reg N° 800'!$D$18,'Sim Reg N° 800'!B235,'Sim Reg N° 800'!$K$9,-'Sim Reg N° 800'!$J$10),0))+F235*0.21</f>
        <v>23.402034262371632</v>
      </c>
      <c r="H235" s="14">
        <f t="shared" si="21"/>
        <v>742.86266444567434</v>
      </c>
      <c r="I235" s="14">
        <f t="shared" si="19"/>
        <v>0</v>
      </c>
      <c r="J235" s="14">
        <f t="shared" si="20"/>
        <v>742.86266444567434</v>
      </c>
      <c r="K235" s="26">
        <f t="shared" si="22"/>
        <v>222.85879933370231</v>
      </c>
      <c r="L235" s="21"/>
      <c r="M235" s="19"/>
      <c r="R235" s="20"/>
    </row>
    <row r="236" spans="1:18" hidden="1" x14ac:dyDescent="0.2">
      <c r="A236" s="7"/>
      <c r="B236" s="42">
        <v>203</v>
      </c>
      <c r="C236" s="14">
        <f t="shared" si="18"/>
        <v>72049.495488418237</v>
      </c>
      <c r="D236" s="14">
        <f>IF(B236&gt;$K$9,"",IF($D$8=Variables!$B$3,PPMT($D$18,B236,$K$9,-$J$10),IF($D$8=Variables!$B$6,PPMT($D$18,B236,$K$9,-$J$10),IF($D$8=Variables!$B$5,PPMT($D$18,B236-12,$K$9-12,-$C$45),IF(AND($D$8=Variables!$B$4,$D$15="si"),0,PPMT($D$18,B236-18,$K$9-18,-$J$10-SUM($L$34:$L$51))))))+IF(AND($D$8=Variables!$B$4,'Sim Reg N° 800'!$D$15="SI"),PPMT($D$18,B236-24,$K$9-24,-$J$10-SUM($M$34:$M$57))))</f>
        <v>336.57460892601591</v>
      </c>
      <c r="E236" s="14">
        <f>IF(B236&gt;$K$9,"",IF($D$8=Variables!$B$3,IPMT($D$18,B236,$K$9,-$J$10),IF($D$8=Variables!$B$6,IPMT($D$18,B236,$K$9,-$J$10),IF($D$8=Variables!$B$5,IPMT($D$18,B236-12,$K$9-12,-$C$45),IF(AND($D$8=Variables!$B$4,$D$15="si"),0,IPMT($D$18,B236-18,$K$9-18,-$J$10-SUM($L$34:$L$51))))))+IF(AND($D$8=Variables!$B$4,'Sim Reg N° 800'!$D$15="SI"),IPMT($D$18,B236-24,$K$9-24,-$J$10-SUM($M$34:$M$57))))</f>
        <v>271.44776286504089</v>
      </c>
      <c r="F236" s="14">
        <f>IF(B236&gt;$K$9,"",IF(AND($D$8=Variables!$B$3,$D$12="SI",$D$19="NO",$D$13="SI",B236&gt;=7),(PMT(0.06/12,$K$9,-$C$33)-PMT(0.045/12,$K$9,-$C$33)),IF(AND($D$8=Variables!$B$5,$D$19="NO",$D$12="SI",$D$13="SI",B236&gt;12),(PMT(0.06/12,$K$9,-$C$45)-PMT(0.045/12,$K$9,-$C$45)),IF(AND($D$8=Variables!$B$4,$D$12="SI",$D$19="NO",$D$13="SI",$D$15="NO",B236&gt;18),(PMT(0.06/12,$K$9,-$C$51)-PMT(0.045/12,$K$9,-$C$51)),IF(AND($D$8=Variables!$B$4,$D$12="SI",$D$19="NO",$D$13="SI",$D$15="SI",B236&gt;24),(PMT(0.06/12,$K$9,-$C$57)-PMT(0.045/12,$K$9,-$C$57)),0)))))</f>
        <v>111.43825839224587</v>
      </c>
      <c r="G236" s="14">
        <f>+IF(B236&gt;$K$9,"",IF($D$8=Variables!$B$6,0.21*IPMT('Sim Reg N° 800'!$D$18,'Sim Reg N° 800'!B236,'Sim Reg N° 800'!$K$9,-'Sim Reg N° 800'!$J$10),0))+F236*0.21</f>
        <v>23.402034262371632</v>
      </c>
      <c r="H236" s="14">
        <f t="shared" si="21"/>
        <v>742.86266444567423</v>
      </c>
      <c r="I236" s="14">
        <f t="shared" si="19"/>
        <v>0</v>
      </c>
      <c r="J236" s="14">
        <f t="shared" si="20"/>
        <v>742.86266444567423</v>
      </c>
      <c r="K236" s="26">
        <f t="shared" si="22"/>
        <v>222.85879933370225</v>
      </c>
      <c r="L236" s="21"/>
      <c r="M236" s="19"/>
      <c r="R236" s="20"/>
    </row>
    <row r="237" spans="1:18" hidden="1" x14ac:dyDescent="0.2">
      <c r="A237" s="7"/>
      <c r="B237" s="42">
        <v>204</v>
      </c>
      <c r="C237" s="14">
        <f t="shared" si="18"/>
        <v>71711.658724708745</v>
      </c>
      <c r="D237" s="14">
        <f>IF(B237&gt;$K$9,"",IF($D$8=Variables!$B$3,PPMT($D$18,B237,$K$9,-$J$10),IF($D$8=Variables!$B$6,PPMT($D$18,B237,$K$9,-$J$10),IF($D$8=Variables!$B$5,PPMT($D$18,B237-12,$K$9-12,-$C$45),IF(AND($D$8=Variables!$B$4,$D$15="si"),0,PPMT($D$18,B237-18,$K$9-18,-$J$10-SUM($L$34:$L$51))))))+IF(AND($D$8=Variables!$B$4,'Sim Reg N° 800'!$D$15="SI"),PPMT($D$18,B237-24,$K$9-24,-$J$10-SUM($M$34:$M$57))))</f>
        <v>337.83676370948848</v>
      </c>
      <c r="E237" s="14">
        <f>IF(B237&gt;$K$9,"",IF($D$8=Variables!$B$3,IPMT($D$18,B237,$K$9,-$J$10),IF($D$8=Variables!$B$6,IPMT($D$18,B237,$K$9,-$J$10),IF($D$8=Variables!$B$5,IPMT($D$18,B237-12,$K$9-12,-$C$45),IF(AND($D$8=Variables!$B$4,$D$15="si"),0,IPMT($D$18,B237-18,$K$9-18,-$J$10-SUM($L$34:$L$51))))))+IF(AND($D$8=Variables!$B$4,'Sim Reg N° 800'!$D$15="SI"),IPMT($D$18,B237-24,$K$9-24,-$J$10-SUM($M$34:$M$57))))</f>
        <v>270.18560808156838</v>
      </c>
      <c r="F237" s="14">
        <f>IF(B237&gt;$K$9,"",IF(AND($D$8=Variables!$B$3,$D$12="SI",$D$19="NO",$D$13="SI",B237&gt;=7),(PMT(0.06/12,$K$9,-$C$33)-PMT(0.045/12,$K$9,-$C$33)),IF(AND($D$8=Variables!$B$5,$D$19="NO",$D$12="SI",$D$13="SI",B237&gt;12),(PMT(0.06/12,$K$9,-$C$45)-PMT(0.045/12,$K$9,-$C$45)),IF(AND($D$8=Variables!$B$4,$D$12="SI",$D$19="NO",$D$13="SI",$D$15="NO",B237&gt;18),(PMT(0.06/12,$K$9,-$C$51)-PMT(0.045/12,$K$9,-$C$51)),IF(AND($D$8=Variables!$B$4,$D$12="SI",$D$19="NO",$D$13="SI",$D$15="SI",B237&gt;24),(PMT(0.06/12,$K$9,-$C$57)-PMT(0.045/12,$K$9,-$C$57)),0)))))</f>
        <v>111.43825839224587</v>
      </c>
      <c r="G237" s="14">
        <f>+IF(B237&gt;$K$9,"",IF($D$8=Variables!$B$6,0.21*IPMT('Sim Reg N° 800'!$D$18,'Sim Reg N° 800'!B237,'Sim Reg N° 800'!$K$9,-'Sim Reg N° 800'!$J$10),0))+F237*0.21</f>
        <v>23.402034262371632</v>
      </c>
      <c r="H237" s="14">
        <f t="shared" si="21"/>
        <v>742.86266444567434</v>
      </c>
      <c r="I237" s="14">
        <f t="shared" si="19"/>
        <v>0</v>
      </c>
      <c r="J237" s="14">
        <f t="shared" si="20"/>
        <v>742.86266444567434</v>
      </c>
      <c r="K237" s="26">
        <f t="shared" si="22"/>
        <v>222.85879933370231</v>
      </c>
      <c r="L237" s="21"/>
      <c r="M237" s="19"/>
      <c r="R237" s="20"/>
    </row>
    <row r="238" spans="1:18" hidden="1" x14ac:dyDescent="0.2">
      <c r="A238" s="7"/>
      <c r="B238" s="42">
        <v>205</v>
      </c>
      <c r="C238" s="14">
        <f t="shared" si="18"/>
        <v>71372.555073135343</v>
      </c>
      <c r="D238" s="14">
        <f>IF(B238&gt;$K$9,"",IF($D$8=Variables!$B$3,PPMT($D$18,B238,$K$9,-$J$10),IF($D$8=Variables!$B$6,PPMT($D$18,B238,$K$9,-$J$10),IF($D$8=Variables!$B$5,PPMT($D$18,B238-12,$K$9-12,-$C$45),IF(AND($D$8=Variables!$B$4,$D$15="si"),0,PPMT($D$18,B238-18,$K$9-18,-$J$10-SUM($L$34:$L$51))))))+IF(AND($D$8=Variables!$B$4,'Sim Reg N° 800'!$D$15="SI"),PPMT($D$18,B238-24,$K$9-24,-$J$10-SUM($M$34:$M$57))))</f>
        <v>339.10365157339902</v>
      </c>
      <c r="E238" s="14">
        <f>IF(B238&gt;$K$9,"",IF($D$8=Variables!$B$3,IPMT($D$18,B238,$K$9,-$J$10),IF($D$8=Variables!$B$6,IPMT($D$18,B238,$K$9,-$J$10),IF($D$8=Variables!$B$5,IPMT($D$18,B238-12,$K$9-12,-$C$45),IF(AND($D$8=Variables!$B$4,$D$15="si"),0,IPMT($D$18,B238-18,$K$9-18,-$J$10-SUM($L$34:$L$51))))))+IF(AND($D$8=Variables!$B$4,'Sim Reg N° 800'!$D$15="SI"),IPMT($D$18,B238-24,$K$9-24,-$J$10-SUM($M$34:$M$57))))</f>
        <v>268.91872021765789</v>
      </c>
      <c r="F238" s="14">
        <f>IF(B238&gt;$K$9,"",IF(AND($D$8=Variables!$B$3,$D$12="SI",$D$19="NO",$D$13="SI",B238&gt;=7),(PMT(0.06/12,$K$9,-$C$33)-PMT(0.045/12,$K$9,-$C$33)),IF(AND($D$8=Variables!$B$5,$D$19="NO",$D$12="SI",$D$13="SI",B238&gt;12),(PMT(0.06/12,$K$9,-$C$45)-PMT(0.045/12,$K$9,-$C$45)),IF(AND($D$8=Variables!$B$4,$D$12="SI",$D$19="NO",$D$13="SI",$D$15="NO",B238&gt;18),(PMT(0.06/12,$K$9,-$C$51)-PMT(0.045/12,$K$9,-$C$51)),IF(AND($D$8=Variables!$B$4,$D$12="SI",$D$19="NO",$D$13="SI",$D$15="SI",B238&gt;24),(PMT(0.06/12,$K$9,-$C$57)-PMT(0.045/12,$K$9,-$C$57)),0)))))</f>
        <v>111.43825839224587</v>
      </c>
      <c r="G238" s="14">
        <f>+IF(B238&gt;$K$9,"",IF($D$8=Variables!$B$6,0.21*IPMT('Sim Reg N° 800'!$D$18,'Sim Reg N° 800'!B238,'Sim Reg N° 800'!$K$9,-'Sim Reg N° 800'!$J$10),0))+F238*0.21</f>
        <v>23.402034262371632</v>
      </c>
      <c r="H238" s="14">
        <f t="shared" si="21"/>
        <v>742.86266444567445</v>
      </c>
      <c r="I238" s="14">
        <f t="shared" si="19"/>
        <v>95.999999999999986</v>
      </c>
      <c r="J238" s="14">
        <f t="shared" si="20"/>
        <v>838.86266444567445</v>
      </c>
      <c r="K238" s="26">
        <f t="shared" si="22"/>
        <v>251.65879933370232</v>
      </c>
      <c r="L238" s="21"/>
      <c r="M238" s="19"/>
      <c r="R238" s="20"/>
    </row>
    <row r="239" spans="1:18" hidden="1" x14ac:dyDescent="0.2">
      <c r="A239" s="7"/>
      <c r="B239" s="42">
        <v>206</v>
      </c>
      <c r="C239" s="14">
        <f t="shared" si="18"/>
        <v>71032.179782868538</v>
      </c>
      <c r="D239" s="14">
        <f>IF(B239&gt;$K$9,"",IF($D$8=Variables!$B$3,PPMT($D$18,B239,$K$9,-$J$10),IF($D$8=Variables!$B$6,PPMT($D$18,B239,$K$9,-$J$10),IF($D$8=Variables!$B$5,PPMT($D$18,B239-12,$K$9-12,-$C$45),IF(AND($D$8=Variables!$B$4,$D$15="si"),0,PPMT($D$18,B239-18,$K$9-18,-$J$10-SUM($L$34:$L$51))))))+IF(AND($D$8=Variables!$B$4,'Sim Reg N° 800'!$D$15="SI"),PPMT($D$18,B239-24,$K$9-24,-$J$10-SUM($M$34:$M$57))))</f>
        <v>340.37529026679925</v>
      </c>
      <c r="E239" s="14">
        <f>IF(B239&gt;$K$9,"",IF($D$8=Variables!$B$3,IPMT($D$18,B239,$K$9,-$J$10),IF($D$8=Variables!$B$6,IPMT($D$18,B239,$K$9,-$J$10),IF($D$8=Variables!$B$5,IPMT($D$18,B239-12,$K$9-12,-$C$45),IF(AND($D$8=Variables!$B$4,$D$15="si"),0,IPMT($D$18,B239-18,$K$9-18,-$J$10-SUM($L$34:$L$51))))))+IF(AND($D$8=Variables!$B$4,'Sim Reg N° 800'!$D$15="SI"),IPMT($D$18,B239-24,$K$9-24,-$J$10-SUM($M$34:$M$57))))</f>
        <v>267.64708152425754</v>
      </c>
      <c r="F239" s="14">
        <f>IF(B239&gt;$K$9,"",IF(AND($D$8=Variables!$B$3,$D$12="SI",$D$19="NO",$D$13="SI",B239&gt;=7),(PMT(0.06/12,$K$9,-$C$33)-PMT(0.045/12,$K$9,-$C$33)),IF(AND($D$8=Variables!$B$5,$D$19="NO",$D$12="SI",$D$13="SI",B239&gt;12),(PMT(0.06/12,$K$9,-$C$45)-PMT(0.045/12,$K$9,-$C$45)),IF(AND($D$8=Variables!$B$4,$D$12="SI",$D$19="NO",$D$13="SI",$D$15="NO",B239&gt;18),(PMT(0.06/12,$K$9,-$C$51)-PMT(0.045/12,$K$9,-$C$51)),IF(AND($D$8=Variables!$B$4,$D$12="SI",$D$19="NO",$D$13="SI",$D$15="SI",B239&gt;24),(PMT(0.06/12,$K$9,-$C$57)-PMT(0.045/12,$K$9,-$C$57)),0)))))</f>
        <v>111.43825839224587</v>
      </c>
      <c r="G239" s="14">
        <f>+IF(B239&gt;$K$9,"",IF($D$8=Variables!$B$6,0.21*IPMT('Sim Reg N° 800'!$D$18,'Sim Reg N° 800'!B239,'Sim Reg N° 800'!$K$9,-'Sim Reg N° 800'!$J$10),0))+F239*0.21</f>
        <v>23.402034262371632</v>
      </c>
      <c r="H239" s="14">
        <f t="shared" si="21"/>
        <v>742.86266444567423</v>
      </c>
      <c r="I239" s="14">
        <f t="shared" si="19"/>
        <v>0</v>
      </c>
      <c r="J239" s="14">
        <f t="shared" si="20"/>
        <v>742.86266444567423</v>
      </c>
      <c r="K239" s="26">
        <f t="shared" si="22"/>
        <v>222.85879933370225</v>
      </c>
      <c r="L239" s="21"/>
      <c r="M239" s="19"/>
      <c r="R239" s="20"/>
    </row>
    <row r="240" spans="1:18" hidden="1" x14ac:dyDescent="0.2">
      <c r="A240" s="7"/>
      <c r="B240" s="42">
        <v>207</v>
      </c>
      <c r="C240" s="14">
        <f t="shared" si="18"/>
        <v>70690.528085263242</v>
      </c>
      <c r="D240" s="14">
        <f>IF(B240&gt;$K$9,"",IF($D$8=Variables!$B$3,PPMT($D$18,B240,$K$9,-$J$10),IF($D$8=Variables!$B$6,PPMT($D$18,B240,$K$9,-$J$10),IF($D$8=Variables!$B$5,PPMT($D$18,B240-12,$K$9-12,-$C$45),IF(AND($D$8=Variables!$B$4,$D$15="si"),0,PPMT($D$18,B240-18,$K$9-18,-$J$10-SUM($L$34:$L$51))))))+IF(AND($D$8=Variables!$B$4,'Sim Reg N° 800'!$D$15="SI"),PPMT($D$18,B240-24,$K$9-24,-$J$10-SUM($M$34:$M$57))))</f>
        <v>341.65169760529977</v>
      </c>
      <c r="E240" s="14">
        <f>IF(B240&gt;$K$9,"",IF($D$8=Variables!$B$3,IPMT($D$18,B240,$K$9,-$J$10),IF($D$8=Variables!$B$6,IPMT($D$18,B240,$K$9,-$J$10),IF($D$8=Variables!$B$5,IPMT($D$18,B240-12,$K$9-12,-$C$45),IF(AND($D$8=Variables!$B$4,$D$15="si"),0,IPMT($D$18,B240-18,$K$9-18,-$J$10-SUM($L$34:$L$51))))))+IF(AND($D$8=Variables!$B$4,'Sim Reg N° 800'!$D$15="SI"),IPMT($D$18,B240-24,$K$9-24,-$J$10-SUM($M$34:$M$57))))</f>
        <v>266.37067418575708</v>
      </c>
      <c r="F240" s="14">
        <f>IF(B240&gt;$K$9,"",IF(AND($D$8=Variables!$B$3,$D$12="SI",$D$19="NO",$D$13="SI",B240&gt;=7),(PMT(0.06/12,$K$9,-$C$33)-PMT(0.045/12,$K$9,-$C$33)),IF(AND($D$8=Variables!$B$5,$D$19="NO",$D$12="SI",$D$13="SI",B240&gt;12),(PMT(0.06/12,$K$9,-$C$45)-PMT(0.045/12,$K$9,-$C$45)),IF(AND($D$8=Variables!$B$4,$D$12="SI",$D$19="NO",$D$13="SI",$D$15="NO",B240&gt;18),(PMT(0.06/12,$K$9,-$C$51)-PMT(0.045/12,$K$9,-$C$51)),IF(AND($D$8=Variables!$B$4,$D$12="SI",$D$19="NO",$D$13="SI",$D$15="SI",B240&gt;24),(PMT(0.06/12,$K$9,-$C$57)-PMT(0.045/12,$K$9,-$C$57)),0)))))</f>
        <v>111.43825839224587</v>
      </c>
      <c r="G240" s="14">
        <f>+IF(B240&gt;$K$9,"",IF($D$8=Variables!$B$6,0.21*IPMT('Sim Reg N° 800'!$D$18,'Sim Reg N° 800'!B240,'Sim Reg N° 800'!$K$9,-'Sim Reg N° 800'!$J$10),0))+F240*0.21</f>
        <v>23.402034262371632</v>
      </c>
      <c r="H240" s="14">
        <f t="shared" si="21"/>
        <v>742.86266444567434</v>
      </c>
      <c r="I240" s="14">
        <f t="shared" si="19"/>
        <v>0</v>
      </c>
      <c r="J240" s="14">
        <f t="shared" si="20"/>
        <v>742.86266444567434</v>
      </c>
      <c r="K240" s="26">
        <f t="shared" si="22"/>
        <v>222.85879933370231</v>
      </c>
      <c r="L240" s="21"/>
      <c r="M240" s="19"/>
      <c r="R240" s="20"/>
    </row>
    <row r="241" spans="1:18" hidden="1" x14ac:dyDescent="0.2">
      <c r="A241" s="7"/>
      <c r="B241" s="42">
        <v>208</v>
      </c>
      <c r="C241" s="14">
        <f t="shared" si="18"/>
        <v>70347.595193791916</v>
      </c>
      <c r="D241" s="14">
        <f>IF(B241&gt;$K$9,"",IF($D$8=Variables!$B$3,PPMT($D$18,B241,$K$9,-$J$10),IF($D$8=Variables!$B$6,PPMT($D$18,B241,$K$9,-$J$10),IF($D$8=Variables!$B$5,PPMT($D$18,B241-12,$K$9-12,-$C$45),IF(AND($D$8=Variables!$B$4,$D$15="si"),0,PPMT($D$18,B241-18,$K$9-18,-$J$10-SUM($L$34:$L$51))))))+IF(AND($D$8=Variables!$B$4,'Sim Reg N° 800'!$D$15="SI"),PPMT($D$18,B241-24,$K$9-24,-$J$10-SUM($M$34:$M$57))))</f>
        <v>342.93289147131964</v>
      </c>
      <c r="E241" s="14">
        <f>IF(B241&gt;$K$9,"",IF($D$8=Variables!$B$3,IPMT($D$18,B241,$K$9,-$J$10),IF($D$8=Variables!$B$6,IPMT($D$18,B241,$K$9,-$J$10),IF($D$8=Variables!$B$5,IPMT($D$18,B241-12,$K$9-12,-$C$45),IF(AND($D$8=Variables!$B$4,$D$15="si"),0,IPMT($D$18,B241-18,$K$9-18,-$J$10-SUM($L$34:$L$51))))))+IF(AND($D$8=Variables!$B$4,'Sim Reg N° 800'!$D$15="SI"),IPMT($D$18,B241-24,$K$9-24,-$J$10-SUM($M$34:$M$57))))</f>
        <v>265.08948031973722</v>
      </c>
      <c r="F241" s="14">
        <f>IF(B241&gt;$K$9,"",IF(AND($D$8=Variables!$B$3,$D$12="SI",$D$19="NO",$D$13="SI",B241&gt;=7),(PMT(0.06/12,$K$9,-$C$33)-PMT(0.045/12,$K$9,-$C$33)),IF(AND($D$8=Variables!$B$5,$D$19="NO",$D$12="SI",$D$13="SI",B241&gt;12),(PMT(0.06/12,$K$9,-$C$45)-PMT(0.045/12,$K$9,-$C$45)),IF(AND($D$8=Variables!$B$4,$D$12="SI",$D$19="NO",$D$13="SI",$D$15="NO",B241&gt;18),(PMT(0.06/12,$K$9,-$C$51)-PMT(0.045/12,$K$9,-$C$51)),IF(AND($D$8=Variables!$B$4,$D$12="SI",$D$19="NO",$D$13="SI",$D$15="SI",B241&gt;24),(PMT(0.06/12,$K$9,-$C$57)-PMT(0.045/12,$K$9,-$C$57)),0)))))</f>
        <v>111.43825839224587</v>
      </c>
      <c r="G241" s="14">
        <f>+IF(B241&gt;$K$9,"",IF($D$8=Variables!$B$6,0.21*IPMT('Sim Reg N° 800'!$D$18,'Sim Reg N° 800'!B241,'Sim Reg N° 800'!$K$9,-'Sim Reg N° 800'!$J$10),0))+F241*0.21</f>
        <v>23.402034262371632</v>
      </c>
      <c r="H241" s="14">
        <f t="shared" si="21"/>
        <v>742.86266444567434</v>
      </c>
      <c r="I241" s="14">
        <f t="shared" si="19"/>
        <v>0</v>
      </c>
      <c r="J241" s="14">
        <f t="shared" si="20"/>
        <v>742.86266444567434</v>
      </c>
      <c r="K241" s="26">
        <f t="shared" si="22"/>
        <v>222.85879933370231</v>
      </c>
      <c r="L241" s="21"/>
      <c r="M241" s="19"/>
      <c r="R241" s="20"/>
    </row>
    <row r="242" spans="1:18" hidden="1" x14ac:dyDescent="0.2">
      <c r="A242" s="7"/>
      <c r="B242" s="42">
        <v>209</v>
      </c>
      <c r="C242" s="14">
        <f t="shared" si="18"/>
        <v>70003.37630397758</v>
      </c>
      <c r="D242" s="14">
        <f>IF(B242&gt;$K$9,"",IF($D$8=Variables!$B$3,PPMT($D$18,B242,$K$9,-$J$10),IF($D$8=Variables!$B$6,PPMT($D$18,B242,$K$9,-$J$10),IF($D$8=Variables!$B$5,PPMT($D$18,B242-12,$K$9-12,-$C$45),IF(AND($D$8=Variables!$B$4,$D$15="si"),0,PPMT($D$18,B242-18,$K$9-18,-$J$10-SUM($L$34:$L$51))))))+IF(AND($D$8=Variables!$B$4,'Sim Reg N° 800'!$D$15="SI"),PPMT($D$18,B242-24,$K$9-24,-$J$10-SUM($M$34:$M$57))))</f>
        <v>344.2188898143371</v>
      </c>
      <c r="E242" s="14">
        <f>IF(B242&gt;$K$9,"",IF($D$8=Variables!$B$3,IPMT($D$18,B242,$K$9,-$J$10),IF($D$8=Variables!$B$6,IPMT($D$18,B242,$K$9,-$J$10),IF($D$8=Variables!$B$5,IPMT($D$18,B242-12,$K$9-12,-$C$45),IF(AND($D$8=Variables!$B$4,$D$15="si"),0,IPMT($D$18,B242-18,$K$9-18,-$J$10-SUM($L$34:$L$51))))))+IF(AND($D$8=Variables!$B$4,'Sim Reg N° 800'!$D$15="SI"),IPMT($D$18,B242-24,$K$9-24,-$J$10-SUM($M$34:$M$57))))</f>
        <v>263.80348197671981</v>
      </c>
      <c r="F242" s="14">
        <f>IF(B242&gt;$K$9,"",IF(AND($D$8=Variables!$B$3,$D$12="SI",$D$19="NO",$D$13="SI",B242&gt;=7),(PMT(0.06/12,$K$9,-$C$33)-PMT(0.045/12,$K$9,-$C$33)),IF(AND($D$8=Variables!$B$5,$D$19="NO",$D$12="SI",$D$13="SI",B242&gt;12),(PMT(0.06/12,$K$9,-$C$45)-PMT(0.045/12,$K$9,-$C$45)),IF(AND($D$8=Variables!$B$4,$D$12="SI",$D$19="NO",$D$13="SI",$D$15="NO",B242&gt;18),(PMT(0.06/12,$K$9,-$C$51)-PMT(0.045/12,$K$9,-$C$51)),IF(AND($D$8=Variables!$B$4,$D$12="SI",$D$19="NO",$D$13="SI",$D$15="SI",B242&gt;24),(PMT(0.06/12,$K$9,-$C$57)-PMT(0.045/12,$K$9,-$C$57)),0)))))</f>
        <v>111.43825839224587</v>
      </c>
      <c r="G242" s="14">
        <f>+IF(B242&gt;$K$9,"",IF($D$8=Variables!$B$6,0.21*IPMT('Sim Reg N° 800'!$D$18,'Sim Reg N° 800'!B242,'Sim Reg N° 800'!$K$9,-'Sim Reg N° 800'!$J$10),0))+F242*0.21</f>
        <v>23.402034262371632</v>
      </c>
      <c r="H242" s="14">
        <f t="shared" si="21"/>
        <v>742.86266444567445</v>
      </c>
      <c r="I242" s="14">
        <f t="shared" si="19"/>
        <v>0</v>
      </c>
      <c r="J242" s="14">
        <f t="shared" si="20"/>
        <v>742.86266444567445</v>
      </c>
      <c r="K242" s="26">
        <f t="shared" si="22"/>
        <v>222.85879933370234</v>
      </c>
      <c r="L242" s="21"/>
      <c r="M242" s="19"/>
      <c r="R242" s="20"/>
    </row>
    <row r="243" spans="1:18" hidden="1" x14ac:dyDescent="0.2">
      <c r="A243" s="7"/>
      <c r="B243" s="42">
        <v>210</v>
      </c>
      <c r="C243" s="14">
        <f t="shared" si="18"/>
        <v>69657.866593326442</v>
      </c>
      <c r="D243" s="14">
        <f>IF(B243&gt;$K$9,"",IF($D$8=Variables!$B$3,PPMT($D$18,B243,$K$9,-$J$10),IF($D$8=Variables!$B$6,PPMT($D$18,B243,$K$9,-$J$10),IF($D$8=Variables!$B$5,PPMT($D$18,B243-12,$K$9-12,-$C$45),IF(AND($D$8=Variables!$B$4,$D$15="si"),0,PPMT($D$18,B243-18,$K$9-18,-$J$10-SUM($L$34:$L$51))))))+IF(AND($D$8=Variables!$B$4,'Sim Reg N° 800'!$D$15="SI"),PPMT($D$18,B243-24,$K$9-24,-$J$10-SUM($M$34:$M$57))))</f>
        <v>345.50971065114089</v>
      </c>
      <c r="E243" s="14">
        <f>IF(B243&gt;$K$9,"",IF($D$8=Variables!$B$3,IPMT($D$18,B243,$K$9,-$J$10),IF($D$8=Variables!$B$6,IPMT($D$18,B243,$K$9,-$J$10),IF($D$8=Variables!$B$5,IPMT($D$18,B243-12,$K$9-12,-$C$45),IF(AND($D$8=Variables!$B$4,$D$15="si"),0,IPMT($D$18,B243-18,$K$9-18,-$J$10-SUM($L$34:$L$51))))))+IF(AND($D$8=Variables!$B$4,'Sim Reg N° 800'!$D$15="SI"),IPMT($D$18,B243-24,$K$9-24,-$J$10-SUM($M$34:$M$57))))</f>
        <v>262.51266113991596</v>
      </c>
      <c r="F243" s="14">
        <f>IF(B243&gt;$K$9,"",IF(AND($D$8=Variables!$B$3,$D$12="SI",$D$19="NO",$D$13="SI",B243&gt;=7),(PMT(0.06/12,$K$9,-$C$33)-PMT(0.045/12,$K$9,-$C$33)),IF(AND($D$8=Variables!$B$5,$D$19="NO",$D$12="SI",$D$13="SI",B243&gt;12),(PMT(0.06/12,$K$9,-$C$45)-PMT(0.045/12,$K$9,-$C$45)),IF(AND($D$8=Variables!$B$4,$D$12="SI",$D$19="NO",$D$13="SI",$D$15="NO",B243&gt;18),(PMT(0.06/12,$K$9,-$C$51)-PMT(0.045/12,$K$9,-$C$51)),IF(AND($D$8=Variables!$B$4,$D$12="SI",$D$19="NO",$D$13="SI",$D$15="SI",B243&gt;24),(PMT(0.06/12,$K$9,-$C$57)-PMT(0.045/12,$K$9,-$C$57)),0)))))</f>
        <v>111.43825839224587</v>
      </c>
      <c r="G243" s="14">
        <f>+IF(B243&gt;$K$9,"",IF($D$8=Variables!$B$6,0.21*IPMT('Sim Reg N° 800'!$D$18,'Sim Reg N° 800'!B243,'Sim Reg N° 800'!$K$9,-'Sim Reg N° 800'!$J$10),0))+F243*0.21</f>
        <v>23.402034262371632</v>
      </c>
      <c r="H243" s="14">
        <f t="shared" si="21"/>
        <v>742.86266444567434</v>
      </c>
      <c r="I243" s="14">
        <f t="shared" si="19"/>
        <v>0</v>
      </c>
      <c r="J243" s="14">
        <f t="shared" si="20"/>
        <v>742.86266444567434</v>
      </c>
      <c r="K243" s="26">
        <f t="shared" si="22"/>
        <v>222.85879933370231</v>
      </c>
      <c r="L243" s="21"/>
      <c r="M243" s="19"/>
      <c r="R243" s="20"/>
    </row>
    <row r="244" spans="1:18" hidden="1" x14ac:dyDescent="0.2">
      <c r="A244" s="7"/>
      <c r="B244" s="42">
        <v>211</v>
      </c>
      <c r="C244" s="14">
        <f t="shared" si="18"/>
        <v>69311.061221260359</v>
      </c>
      <c r="D244" s="14">
        <f>IF(B244&gt;$K$9,"",IF($D$8=Variables!$B$3,PPMT($D$18,B244,$K$9,-$J$10),IF($D$8=Variables!$B$6,PPMT($D$18,B244,$K$9,-$J$10),IF($D$8=Variables!$B$5,PPMT($D$18,B244-12,$K$9-12,-$C$45),IF(AND($D$8=Variables!$B$4,$D$15="si"),0,PPMT($D$18,B244-18,$K$9-18,-$J$10-SUM($L$34:$L$51))))))+IF(AND($D$8=Variables!$B$4,'Sim Reg N° 800'!$D$15="SI"),PPMT($D$18,B244-24,$K$9-24,-$J$10-SUM($M$34:$M$57))))</f>
        <v>346.80537206608267</v>
      </c>
      <c r="E244" s="14">
        <f>IF(B244&gt;$K$9,"",IF($D$8=Variables!$B$3,IPMT($D$18,B244,$K$9,-$J$10),IF($D$8=Variables!$B$6,IPMT($D$18,B244,$K$9,-$J$10),IF($D$8=Variables!$B$5,IPMT($D$18,B244-12,$K$9-12,-$C$45),IF(AND($D$8=Variables!$B$4,$D$15="si"),0,IPMT($D$18,B244-18,$K$9-18,-$J$10-SUM($L$34:$L$51))))))+IF(AND($D$8=Variables!$B$4,'Sim Reg N° 800'!$D$15="SI"),IPMT($D$18,B244-24,$K$9-24,-$J$10-SUM($M$34:$M$57))))</f>
        <v>261.21699972497419</v>
      </c>
      <c r="F244" s="14">
        <f>IF(B244&gt;$K$9,"",IF(AND($D$8=Variables!$B$3,$D$12="SI",$D$19="NO",$D$13="SI",B244&gt;=7),(PMT(0.06/12,$K$9,-$C$33)-PMT(0.045/12,$K$9,-$C$33)),IF(AND($D$8=Variables!$B$5,$D$19="NO",$D$12="SI",$D$13="SI",B244&gt;12),(PMT(0.06/12,$K$9,-$C$45)-PMT(0.045/12,$K$9,-$C$45)),IF(AND($D$8=Variables!$B$4,$D$12="SI",$D$19="NO",$D$13="SI",$D$15="NO",B244&gt;18),(PMT(0.06/12,$K$9,-$C$51)-PMT(0.045/12,$K$9,-$C$51)),IF(AND($D$8=Variables!$B$4,$D$12="SI",$D$19="NO",$D$13="SI",$D$15="SI",B244&gt;24),(PMT(0.06/12,$K$9,-$C$57)-PMT(0.045/12,$K$9,-$C$57)),0)))))</f>
        <v>111.43825839224587</v>
      </c>
      <c r="G244" s="14">
        <f>+IF(B244&gt;$K$9,"",IF($D$8=Variables!$B$6,0.21*IPMT('Sim Reg N° 800'!$D$18,'Sim Reg N° 800'!B244,'Sim Reg N° 800'!$K$9,-'Sim Reg N° 800'!$J$10),0))+F244*0.21</f>
        <v>23.402034262371632</v>
      </c>
      <c r="H244" s="14">
        <f t="shared" si="21"/>
        <v>742.86266444567434</v>
      </c>
      <c r="I244" s="14">
        <f t="shared" si="19"/>
        <v>0</v>
      </c>
      <c r="J244" s="14">
        <f t="shared" si="20"/>
        <v>742.86266444567434</v>
      </c>
      <c r="K244" s="26">
        <f t="shared" si="22"/>
        <v>222.85879933370231</v>
      </c>
      <c r="L244" s="21"/>
      <c r="M244" s="19"/>
      <c r="R244" s="20"/>
    </row>
    <row r="245" spans="1:18" hidden="1" x14ac:dyDescent="0.2">
      <c r="A245" s="7"/>
      <c r="B245" s="42">
        <v>212</v>
      </c>
      <c r="C245" s="14">
        <f t="shared" si="18"/>
        <v>68962.955329049029</v>
      </c>
      <c r="D245" s="14">
        <f>IF(B245&gt;$K$9,"",IF($D$8=Variables!$B$3,PPMT($D$18,B245,$K$9,-$J$10),IF($D$8=Variables!$B$6,PPMT($D$18,B245,$K$9,-$J$10),IF($D$8=Variables!$B$5,PPMT($D$18,B245-12,$K$9-12,-$C$45),IF(AND($D$8=Variables!$B$4,$D$15="si"),0,PPMT($D$18,B245-18,$K$9-18,-$J$10-SUM($L$34:$L$51))))))+IF(AND($D$8=Variables!$B$4,'Sim Reg N° 800'!$D$15="SI"),PPMT($D$18,B245-24,$K$9-24,-$J$10-SUM($M$34:$M$57))))</f>
        <v>348.10589221133051</v>
      </c>
      <c r="E245" s="14">
        <f>IF(B245&gt;$K$9,"",IF($D$8=Variables!$B$3,IPMT($D$18,B245,$K$9,-$J$10),IF($D$8=Variables!$B$6,IPMT($D$18,B245,$K$9,-$J$10),IF($D$8=Variables!$B$5,IPMT($D$18,B245-12,$K$9-12,-$C$45),IF(AND($D$8=Variables!$B$4,$D$15="si"),0,IPMT($D$18,B245-18,$K$9-18,-$J$10-SUM($L$34:$L$51))))))+IF(AND($D$8=Variables!$B$4,'Sim Reg N° 800'!$D$15="SI"),IPMT($D$18,B245-24,$K$9-24,-$J$10-SUM($M$34:$M$57))))</f>
        <v>259.91647957972646</v>
      </c>
      <c r="F245" s="14">
        <f>IF(B245&gt;$K$9,"",IF(AND($D$8=Variables!$B$3,$D$12="SI",$D$19="NO",$D$13="SI",B245&gt;=7),(PMT(0.06/12,$K$9,-$C$33)-PMT(0.045/12,$K$9,-$C$33)),IF(AND($D$8=Variables!$B$5,$D$19="NO",$D$12="SI",$D$13="SI",B245&gt;12),(PMT(0.06/12,$K$9,-$C$45)-PMT(0.045/12,$K$9,-$C$45)),IF(AND($D$8=Variables!$B$4,$D$12="SI",$D$19="NO",$D$13="SI",$D$15="NO",B245&gt;18),(PMT(0.06/12,$K$9,-$C$51)-PMT(0.045/12,$K$9,-$C$51)),IF(AND($D$8=Variables!$B$4,$D$12="SI",$D$19="NO",$D$13="SI",$D$15="SI",B245&gt;24),(PMT(0.06/12,$K$9,-$C$57)-PMT(0.045/12,$K$9,-$C$57)),0)))))</f>
        <v>111.43825839224587</v>
      </c>
      <c r="G245" s="14">
        <f>+IF(B245&gt;$K$9,"",IF($D$8=Variables!$B$6,0.21*IPMT('Sim Reg N° 800'!$D$18,'Sim Reg N° 800'!B245,'Sim Reg N° 800'!$K$9,-'Sim Reg N° 800'!$J$10),0))+F245*0.21</f>
        <v>23.402034262371632</v>
      </c>
      <c r="H245" s="14">
        <f t="shared" si="21"/>
        <v>742.86266444567445</v>
      </c>
      <c r="I245" s="14">
        <f t="shared" si="19"/>
        <v>0</v>
      </c>
      <c r="J245" s="14">
        <f t="shared" si="20"/>
        <v>742.86266444567445</v>
      </c>
      <c r="K245" s="26">
        <f t="shared" si="22"/>
        <v>222.85879933370234</v>
      </c>
      <c r="L245" s="21"/>
      <c r="M245" s="19"/>
      <c r="R245" s="20"/>
    </row>
    <row r="246" spans="1:18" hidden="1" x14ac:dyDescent="0.2">
      <c r="A246" s="7"/>
      <c r="B246" s="42">
        <v>213</v>
      </c>
      <c r="C246" s="14">
        <f t="shared" si="18"/>
        <v>68613.544039741901</v>
      </c>
      <c r="D246" s="14">
        <f>IF(B246&gt;$K$9,"",IF($D$8=Variables!$B$3,PPMT($D$18,B246,$K$9,-$J$10),IF($D$8=Variables!$B$6,PPMT($D$18,B246,$K$9,-$J$10),IF($D$8=Variables!$B$5,PPMT($D$18,B246-12,$K$9-12,-$C$45),IF(AND($D$8=Variables!$B$4,$D$15="si"),0,PPMT($D$18,B246-18,$K$9-18,-$J$10-SUM($L$34:$L$51))))))+IF(AND($D$8=Variables!$B$4,'Sim Reg N° 800'!$D$15="SI"),PPMT($D$18,B246-24,$K$9-24,-$J$10-SUM($M$34:$M$57))))</f>
        <v>349.4112893071229</v>
      </c>
      <c r="E246" s="14">
        <f>IF(B246&gt;$K$9,"",IF($D$8=Variables!$B$3,IPMT($D$18,B246,$K$9,-$J$10),IF($D$8=Variables!$B$6,IPMT($D$18,B246,$K$9,-$J$10),IF($D$8=Variables!$B$5,IPMT($D$18,B246-12,$K$9-12,-$C$45),IF(AND($D$8=Variables!$B$4,$D$15="si"),0,IPMT($D$18,B246-18,$K$9-18,-$J$10-SUM($L$34:$L$51))))))+IF(AND($D$8=Variables!$B$4,'Sim Reg N° 800'!$D$15="SI"),IPMT($D$18,B246-24,$K$9-24,-$J$10-SUM($M$34:$M$57))))</f>
        <v>258.61108248393384</v>
      </c>
      <c r="F246" s="14">
        <f>IF(B246&gt;$K$9,"",IF(AND($D$8=Variables!$B$3,$D$12="SI",$D$19="NO",$D$13="SI",B246&gt;=7),(PMT(0.06/12,$K$9,-$C$33)-PMT(0.045/12,$K$9,-$C$33)),IF(AND($D$8=Variables!$B$5,$D$19="NO",$D$12="SI",$D$13="SI",B246&gt;12),(PMT(0.06/12,$K$9,-$C$45)-PMT(0.045/12,$K$9,-$C$45)),IF(AND($D$8=Variables!$B$4,$D$12="SI",$D$19="NO",$D$13="SI",$D$15="NO",B246&gt;18),(PMT(0.06/12,$K$9,-$C$51)-PMT(0.045/12,$K$9,-$C$51)),IF(AND($D$8=Variables!$B$4,$D$12="SI",$D$19="NO",$D$13="SI",$D$15="SI",B246&gt;24),(PMT(0.06/12,$K$9,-$C$57)-PMT(0.045/12,$K$9,-$C$57)),0)))))</f>
        <v>111.43825839224587</v>
      </c>
      <c r="G246" s="14">
        <f>+IF(B246&gt;$K$9,"",IF($D$8=Variables!$B$6,0.21*IPMT('Sim Reg N° 800'!$D$18,'Sim Reg N° 800'!B246,'Sim Reg N° 800'!$K$9,-'Sim Reg N° 800'!$J$10),0))+F246*0.21</f>
        <v>23.402034262371632</v>
      </c>
      <c r="H246" s="14">
        <f t="shared" si="21"/>
        <v>742.86266444567423</v>
      </c>
      <c r="I246" s="14">
        <f t="shared" si="19"/>
        <v>0</v>
      </c>
      <c r="J246" s="14">
        <f t="shared" si="20"/>
        <v>742.86266444567423</v>
      </c>
      <c r="K246" s="26">
        <f t="shared" si="22"/>
        <v>222.85879933370225</v>
      </c>
      <c r="L246" s="21"/>
      <c r="M246" s="19"/>
      <c r="R246" s="20"/>
    </row>
    <row r="247" spans="1:18" hidden="1" x14ac:dyDescent="0.2">
      <c r="A247" s="7"/>
      <c r="B247" s="42">
        <v>214</v>
      </c>
      <c r="C247" s="14">
        <f t="shared" si="18"/>
        <v>68262.822458099879</v>
      </c>
      <c r="D247" s="14">
        <f>IF(B247&gt;$K$9,"",IF($D$8=Variables!$B$3,PPMT($D$18,B247,$K$9,-$J$10),IF($D$8=Variables!$B$6,PPMT($D$18,B247,$K$9,-$J$10),IF($D$8=Variables!$B$5,PPMT($D$18,B247-12,$K$9-12,-$C$45),IF(AND($D$8=Variables!$B$4,$D$15="si"),0,PPMT($D$18,B247-18,$K$9-18,-$J$10-SUM($L$34:$L$51))))))+IF(AND($D$8=Variables!$B$4,'Sim Reg N° 800'!$D$15="SI"),PPMT($D$18,B247-24,$K$9-24,-$J$10-SUM($M$34:$M$57))))</f>
        <v>350.72158164202466</v>
      </c>
      <c r="E247" s="14">
        <f>IF(B247&gt;$K$9,"",IF($D$8=Variables!$B$3,IPMT($D$18,B247,$K$9,-$J$10),IF($D$8=Variables!$B$6,IPMT($D$18,B247,$K$9,-$J$10),IF($D$8=Variables!$B$5,IPMT($D$18,B247-12,$K$9-12,-$C$45),IF(AND($D$8=Variables!$B$4,$D$15="si"),0,IPMT($D$18,B247-18,$K$9-18,-$J$10-SUM($L$34:$L$51))))))+IF(AND($D$8=Variables!$B$4,'Sim Reg N° 800'!$D$15="SI"),IPMT($D$18,B247-24,$K$9-24,-$J$10-SUM($M$34:$M$57))))</f>
        <v>257.3007901490322</v>
      </c>
      <c r="F247" s="14">
        <f>IF(B247&gt;$K$9,"",IF(AND($D$8=Variables!$B$3,$D$12="SI",$D$19="NO",$D$13="SI",B247&gt;=7),(PMT(0.06/12,$K$9,-$C$33)-PMT(0.045/12,$K$9,-$C$33)),IF(AND($D$8=Variables!$B$5,$D$19="NO",$D$12="SI",$D$13="SI",B247&gt;12),(PMT(0.06/12,$K$9,-$C$45)-PMT(0.045/12,$K$9,-$C$45)),IF(AND($D$8=Variables!$B$4,$D$12="SI",$D$19="NO",$D$13="SI",$D$15="NO",B247&gt;18),(PMT(0.06/12,$K$9,-$C$51)-PMT(0.045/12,$K$9,-$C$51)),IF(AND($D$8=Variables!$B$4,$D$12="SI",$D$19="NO",$D$13="SI",$D$15="SI",B247&gt;24),(PMT(0.06/12,$K$9,-$C$57)-PMT(0.045/12,$K$9,-$C$57)),0)))))</f>
        <v>111.43825839224587</v>
      </c>
      <c r="G247" s="14">
        <f>+IF(B247&gt;$K$9,"",IF($D$8=Variables!$B$6,0.21*IPMT('Sim Reg N° 800'!$D$18,'Sim Reg N° 800'!B247,'Sim Reg N° 800'!$K$9,-'Sim Reg N° 800'!$J$10),0))+F247*0.21</f>
        <v>23.402034262371632</v>
      </c>
      <c r="H247" s="14">
        <f t="shared" si="21"/>
        <v>742.86266444567434</v>
      </c>
      <c r="I247" s="14">
        <f t="shared" si="19"/>
        <v>0</v>
      </c>
      <c r="J247" s="14">
        <f t="shared" si="20"/>
        <v>742.86266444567434</v>
      </c>
      <c r="K247" s="26">
        <f t="shared" si="22"/>
        <v>222.85879933370231</v>
      </c>
      <c r="L247" s="21"/>
      <c r="M247" s="19"/>
      <c r="R247" s="20"/>
    </row>
    <row r="248" spans="1:18" hidden="1" x14ac:dyDescent="0.2">
      <c r="A248" s="7"/>
      <c r="B248" s="42">
        <v>215</v>
      </c>
      <c r="C248" s="14">
        <f t="shared" si="18"/>
        <v>67910.785670526704</v>
      </c>
      <c r="D248" s="14">
        <f>IF(B248&gt;$K$9,"",IF($D$8=Variables!$B$3,PPMT($D$18,B248,$K$9,-$J$10),IF($D$8=Variables!$B$6,PPMT($D$18,B248,$K$9,-$J$10),IF($D$8=Variables!$B$5,PPMT($D$18,B248-12,$K$9-12,-$C$45),IF(AND($D$8=Variables!$B$4,$D$15="si"),0,PPMT($D$18,B248-18,$K$9-18,-$J$10-SUM($L$34:$L$51))))))+IF(AND($D$8=Variables!$B$4,'Sim Reg N° 800'!$D$15="SI"),PPMT($D$18,B248-24,$K$9-24,-$J$10-SUM($M$34:$M$57))))</f>
        <v>352.03678757318227</v>
      </c>
      <c r="E248" s="14">
        <f>IF(B248&gt;$K$9,"",IF($D$8=Variables!$B$3,IPMT($D$18,B248,$K$9,-$J$10),IF($D$8=Variables!$B$6,IPMT($D$18,B248,$K$9,-$J$10),IF($D$8=Variables!$B$5,IPMT($D$18,B248-12,$K$9-12,-$C$45),IF(AND($D$8=Variables!$B$4,$D$15="si"),0,IPMT($D$18,B248-18,$K$9-18,-$J$10-SUM($L$34:$L$51))))))+IF(AND($D$8=Variables!$B$4,'Sim Reg N° 800'!$D$15="SI"),IPMT($D$18,B248-24,$K$9-24,-$J$10-SUM($M$34:$M$57))))</f>
        <v>255.98558421787459</v>
      </c>
      <c r="F248" s="14">
        <f>IF(B248&gt;$K$9,"",IF(AND($D$8=Variables!$B$3,$D$12="SI",$D$19="NO",$D$13="SI",B248&gt;=7),(PMT(0.06/12,$K$9,-$C$33)-PMT(0.045/12,$K$9,-$C$33)),IF(AND($D$8=Variables!$B$5,$D$19="NO",$D$12="SI",$D$13="SI",B248&gt;12),(PMT(0.06/12,$K$9,-$C$45)-PMT(0.045/12,$K$9,-$C$45)),IF(AND($D$8=Variables!$B$4,$D$12="SI",$D$19="NO",$D$13="SI",$D$15="NO",B248&gt;18),(PMT(0.06/12,$K$9,-$C$51)-PMT(0.045/12,$K$9,-$C$51)),IF(AND($D$8=Variables!$B$4,$D$12="SI",$D$19="NO",$D$13="SI",$D$15="SI",B248&gt;24),(PMT(0.06/12,$K$9,-$C$57)-PMT(0.045/12,$K$9,-$C$57)),0)))))</f>
        <v>111.43825839224587</v>
      </c>
      <c r="G248" s="14">
        <f>+IF(B248&gt;$K$9,"",IF($D$8=Variables!$B$6,0.21*IPMT('Sim Reg N° 800'!$D$18,'Sim Reg N° 800'!B248,'Sim Reg N° 800'!$K$9,-'Sim Reg N° 800'!$J$10),0))+F248*0.21</f>
        <v>23.402034262371632</v>
      </c>
      <c r="H248" s="14">
        <f t="shared" si="21"/>
        <v>742.86266444567434</v>
      </c>
      <c r="I248" s="14">
        <f t="shared" si="19"/>
        <v>0</v>
      </c>
      <c r="J248" s="14">
        <f t="shared" si="20"/>
        <v>742.86266444567434</v>
      </c>
      <c r="K248" s="26">
        <f t="shared" si="22"/>
        <v>222.85879933370231</v>
      </c>
      <c r="L248" s="21"/>
      <c r="M248" s="19"/>
      <c r="R248" s="20"/>
    </row>
    <row r="249" spans="1:18" hidden="1" x14ac:dyDescent="0.2">
      <c r="A249" s="7"/>
      <c r="B249" s="42">
        <v>216</v>
      </c>
      <c r="C249" s="14">
        <f t="shared" si="18"/>
        <v>67557.428745000128</v>
      </c>
      <c r="D249" s="14">
        <f>IF(B249&gt;$K$9,"",IF($D$8=Variables!$B$3,PPMT($D$18,B249,$K$9,-$J$10),IF($D$8=Variables!$B$6,PPMT($D$18,B249,$K$9,-$J$10),IF($D$8=Variables!$B$5,PPMT($D$18,B249-12,$K$9-12,-$C$45),IF(AND($D$8=Variables!$B$4,$D$15="si"),0,PPMT($D$18,B249-18,$K$9-18,-$J$10-SUM($L$34:$L$51))))))+IF(AND($D$8=Variables!$B$4,'Sim Reg N° 800'!$D$15="SI"),PPMT($D$18,B249-24,$K$9-24,-$J$10-SUM($M$34:$M$57))))</f>
        <v>353.35692552658173</v>
      </c>
      <c r="E249" s="14">
        <f>IF(B249&gt;$K$9,"",IF($D$8=Variables!$B$3,IPMT($D$18,B249,$K$9,-$J$10),IF($D$8=Variables!$B$6,IPMT($D$18,B249,$K$9,-$J$10),IF($D$8=Variables!$B$5,IPMT($D$18,B249-12,$K$9-12,-$C$45),IF(AND($D$8=Variables!$B$4,$D$15="si"),0,IPMT($D$18,B249-18,$K$9-18,-$J$10-SUM($L$34:$L$51))))))+IF(AND($D$8=Variables!$B$4,'Sim Reg N° 800'!$D$15="SI"),IPMT($D$18,B249-24,$K$9-24,-$J$10-SUM($M$34:$M$57))))</f>
        <v>254.66544626447518</v>
      </c>
      <c r="F249" s="14">
        <f>IF(B249&gt;$K$9,"",IF(AND($D$8=Variables!$B$3,$D$12="SI",$D$19="NO",$D$13="SI",B249&gt;=7),(PMT(0.06/12,$K$9,-$C$33)-PMT(0.045/12,$K$9,-$C$33)),IF(AND($D$8=Variables!$B$5,$D$19="NO",$D$12="SI",$D$13="SI",B249&gt;12),(PMT(0.06/12,$K$9,-$C$45)-PMT(0.045/12,$K$9,-$C$45)),IF(AND($D$8=Variables!$B$4,$D$12="SI",$D$19="NO",$D$13="SI",$D$15="NO",B249&gt;18),(PMT(0.06/12,$K$9,-$C$51)-PMT(0.045/12,$K$9,-$C$51)),IF(AND($D$8=Variables!$B$4,$D$12="SI",$D$19="NO",$D$13="SI",$D$15="SI",B249&gt;24),(PMT(0.06/12,$K$9,-$C$57)-PMT(0.045/12,$K$9,-$C$57)),0)))))</f>
        <v>111.43825839224587</v>
      </c>
      <c r="G249" s="14">
        <f>+IF(B249&gt;$K$9,"",IF($D$8=Variables!$B$6,0.21*IPMT('Sim Reg N° 800'!$D$18,'Sim Reg N° 800'!B249,'Sim Reg N° 800'!$K$9,-'Sim Reg N° 800'!$J$10),0))+F249*0.21</f>
        <v>23.402034262371632</v>
      </c>
      <c r="H249" s="14">
        <f t="shared" si="21"/>
        <v>742.86266444567445</v>
      </c>
      <c r="I249" s="14">
        <f t="shared" si="19"/>
        <v>0</v>
      </c>
      <c r="J249" s="14">
        <f t="shared" si="20"/>
        <v>742.86266444567445</v>
      </c>
      <c r="K249" s="26">
        <f t="shared" si="22"/>
        <v>222.85879933370234</v>
      </c>
      <c r="L249" s="21"/>
      <c r="M249" s="19"/>
      <c r="R249" s="20"/>
    </row>
    <row r="250" spans="1:18" hidden="1" x14ac:dyDescent="0.2">
      <c r="A250" s="7"/>
      <c r="B250" s="42">
        <v>217</v>
      </c>
      <c r="C250" s="14">
        <f t="shared" si="18"/>
        <v>67202.746731002815</v>
      </c>
      <c r="D250" s="14">
        <f>IF(B250&gt;$K$9,"",IF($D$8=Variables!$B$3,PPMT($D$18,B250,$K$9,-$J$10),IF($D$8=Variables!$B$6,PPMT($D$18,B250,$K$9,-$J$10),IF($D$8=Variables!$B$5,PPMT($D$18,B250-12,$K$9-12,-$C$45),IF(AND($D$8=Variables!$B$4,$D$15="si"),0,PPMT($D$18,B250-18,$K$9-18,-$J$10-SUM($L$34:$L$51))))))+IF(AND($D$8=Variables!$B$4,'Sim Reg N° 800'!$D$15="SI"),PPMT($D$18,B250-24,$K$9-24,-$J$10-SUM($M$34:$M$57))))</f>
        <v>354.68201399730634</v>
      </c>
      <c r="E250" s="14">
        <f>IF(B250&gt;$K$9,"",IF($D$8=Variables!$B$3,IPMT($D$18,B250,$K$9,-$J$10),IF($D$8=Variables!$B$6,IPMT($D$18,B250,$K$9,-$J$10),IF($D$8=Variables!$B$5,IPMT($D$18,B250-12,$K$9-12,-$C$45),IF(AND($D$8=Variables!$B$4,$D$15="si"),0,IPMT($D$18,B250-18,$K$9-18,-$J$10-SUM($L$34:$L$51))))))+IF(AND($D$8=Variables!$B$4,'Sim Reg N° 800'!$D$15="SI"),IPMT($D$18,B250-24,$K$9-24,-$J$10-SUM($M$34:$M$57))))</f>
        <v>253.34035779375051</v>
      </c>
      <c r="F250" s="14">
        <f>IF(B250&gt;$K$9,"",IF(AND($D$8=Variables!$B$3,$D$12="SI",$D$19="NO",$D$13="SI",B250&gt;=7),(PMT(0.06/12,$K$9,-$C$33)-PMT(0.045/12,$K$9,-$C$33)),IF(AND($D$8=Variables!$B$5,$D$19="NO",$D$12="SI",$D$13="SI",B250&gt;12),(PMT(0.06/12,$K$9,-$C$45)-PMT(0.045/12,$K$9,-$C$45)),IF(AND($D$8=Variables!$B$4,$D$12="SI",$D$19="NO",$D$13="SI",$D$15="NO",B250&gt;18),(PMT(0.06/12,$K$9,-$C$51)-PMT(0.045/12,$K$9,-$C$51)),IF(AND($D$8=Variables!$B$4,$D$12="SI",$D$19="NO",$D$13="SI",$D$15="SI",B250&gt;24),(PMT(0.06/12,$K$9,-$C$57)-PMT(0.045/12,$K$9,-$C$57)),0)))))</f>
        <v>111.43825839224587</v>
      </c>
      <c r="G250" s="14">
        <f>+IF(B250&gt;$K$9,"",IF($D$8=Variables!$B$6,0.21*IPMT('Sim Reg N° 800'!$D$18,'Sim Reg N° 800'!B250,'Sim Reg N° 800'!$K$9,-'Sim Reg N° 800'!$J$10),0))+F250*0.21</f>
        <v>23.402034262371632</v>
      </c>
      <c r="H250" s="14">
        <f t="shared" si="21"/>
        <v>742.86266444567434</v>
      </c>
      <c r="I250" s="14">
        <f t="shared" si="19"/>
        <v>95.999999999999986</v>
      </c>
      <c r="J250" s="14">
        <f t="shared" si="20"/>
        <v>838.86266444567434</v>
      </c>
      <c r="K250" s="26">
        <f t="shared" si="22"/>
        <v>251.65879933370229</v>
      </c>
      <c r="L250" s="21"/>
      <c r="M250" s="19"/>
      <c r="R250" s="20"/>
    </row>
    <row r="251" spans="1:18" hidden="1" x14ac:dyDescent="0.2">
      <c r="A251" s="7"/>
      <c r="B251" s="42">
        <v>218</v>
      </c>
      <c r="C251" s="14">
        <f t="shared" si="18"/>
        <v>66846.734659453025</v>
      </c>
      <c r="D251" s="14">
        <f>IF(B251&gt;$K$9,"",IF($D$8=Variables!$B$3,PPMT($D$18,B251,$K$9,-$J$10),IF($D$8=Variables!$B$6,PPMT($D$18,B251,$K$9,-$J$10),IF($D$8=Variables!$B$5,PPMT($D$18,B251-12,$K$9-12,-$C$45),IF(AND($D$8=Variables!$B$4,$D$15="si"),0,PPMT($D$18,B251-18,$K$9-18,-$J$10-SUM($L$34:$L$51))))))+IF(AND($D$8=Variables!$B$4,'Sim Reg N° 800'!$D$15="SI"),PPMT($D$18,B251-24,$K$9-24,-$J$10-SUM($M$34:$M$57))))</f>
        <v>356.01207154979625</v>
      </c>
      <c r="E251" s="14">
        <f>IF(B251&gt;$K$9,"",IF($D$8=Variables!$B$3,IPMT($D$18,B251,$K$9,-$J$10),IF($D$8=Variables!$B$6,IPMT($D$18,B251,$K$9,-$J$10),IF($D$8=Variables!$B$5,IPMT($D$18,B251-12,$K$9-12,-$C$45),IF(AND($D$8=Variables!$B$4,$D$15="si"),0,IPMT($D$18,B251-18,$K$9-18,-$J$10-SUM($L$34:$L$51))))))+IF(AND($D$8=Variables!$B$4,'Sim Reg N° 800'!$D$15="SI"),IPMT($D$18,B251-24,$K$9-24,-$J$10-SUM($M$34:$M$57))))</f>
        <v>252.01030024126055</v>
      </c>
      <c r="F251" s="14">
        <f>IF(B251&gt;$K$9,"",IF(AND($D$8=Variables!$B$3,$D$12="SI",$D$19="NO",$D$13="SI",B251&gt;=7),(PMT(0.06/12,$K$9,-$C$33)-PMT(0.045/12,$K$9,-$C$33)),IF(AND($D$8=Variables!$B$5,$D$19="NO",$D$12="SI",$D$13="SI",B251&gt;12),(PMT(0.06/12,$K$9,-$C$45)-PMT(0.045/12,$K$9,-$C$45)),IF(AND($D$8=Variables!$B$4,$D$12="SI",$D$19="NO",$D$13="SI",$D$15="NO",B251&gt;18),(PMT(0.06/12,$K$9,-$C$51)-PMT(0.045/12,$K$9,-$C$51)),IF(AND($D$8=Variables!$B$4,$D$12="SI",$D$19="NO",$D$13="SI",$D$15="SI",B251&gt;24),(PMT(0.06/12,$K$9,-$C$57)-PMT(0.045/12,$K$9,-$C$57)),0)))))</f>
        <v>111.43825839224587</v>
      </c>
      <c r="G251" s="14">
        <f>+IF(B251&gt;$K$9,"",IF($D$8=Variables!$B$6,0.21*IPMT('Sim Reg N° 800'!$D$18,'Sim Reg N° 800'!B251,'Sim Reg N° 800'!$K$9,-'Sim Reg N° 800'!$J$10),0))+F251*0.21</f>
        <v>23.402034262371632</v>
      </c>
      <c r="H251" s="14">
        <f t="shared" si="21"/>
        <v>742.86266444567423</v>
      </c>
      <c r="I251" s="14">
        <f t="shared" si="19"/>
        <v>0</v>
      </c>
      <c r="J251" s="14">
        <f t="shared" si="20"/>
        <v>742.86266444567423</v>
      </c>
      <c r="K251" s="26">
        <f t="shared" si="22"/>
        <v>222.85879933370225</v>
      </c>
      <c r="L251" s="21"/>
      <c r="M251" s="19"/>
      <c r="R251" s="20"/>
    </row>
    <row r="252" spans="1:18" hidden="1" x14ac:dyDescent="0.2">
      <c r="A252" s="7"/>
      <c r="B252" s="42">
        <v>219</v>
      </c>
      <c r="C252" s="14">
        <f t="shared" si="18"/>
        <v>66489.387542634911</v>
      </c>
      <c r="D252" s="14">
        <f>IF(B252&gt;$K$9,"",IF($D$8=Variables!$B$3,PPMT($D$18,B252,$K$9,-$J$10),IF($D$8=Variables!$B$6,PPMT($D$18,B252,$K$9,-$J$10),IF($D$8=Variables!$B$5,PPMT($D$18,B252-12,$K$9-12,-$C$45),IF(AND($D$8=Variables!$B$4,$D$15="si"),0,PPMT($D$18,B252-18,$K$9-18,-$J$10-SUM($L$34:$L$51))))))+IF(AND($D$8=Variables!$B$4,'Sim Reg N° 800'!$D$15="SI"),PPMT($D$18,B252-24,$K$9-24,-$J$10-SUM($M$34:$M$57))))</f>
        <v>357.34711681810802</v>
      </c>
      <c r="E252" s="14">
        <f>IF(B252&gt;$K$9,"",IF($D$8=Variables!$B$3,IPMT($D$18,B252,$K$9,-$J$10),IF($D$8=Variables!$B$6,IPMT($D$18,B252,$K$9,-$J$10),IF($D$8=Variables!$B$5,IPMT($D$18,B252-12,$K$9-12,-$C$45),IF(AND($D$8=Variables!$B$4,$D$15="si"),0,IPMT($D$18,B252-18,$K$9-18,-$J$10-SUM($L$34:$L$51))))))+IF(AND($D$8=Variables!$B$4,'Sim Reg N° 800'!$D$15="SI"),IPMT($D$18,B252-24,$K$9-24,-$J$10-SUM($M$34:$M$57))))</f>
        <v>250.67525497294884</v>
      </c>
      <c r="F252" s="14">
        <f>IF(B252&gt;$K$9,"",IF(AND($D$8=Variables!$B$3,$D$12="SI",$D$19="NO",$D$13="SI",B252&gt;=7),(PMT(0.06/12,$K$9,-$C$33)-PMT(0.045/12,$K$9,-$C$33)),IF(AND($D$8=Variables!$B$5,$D$19="NO",$D$12="SI",$D$13="SI",B252&gt;12),(PMT(0.06/12,$K$9,-$C$45)-PMT(0.045/12,$K$9,-$C$45)),IF(AND($D$8=Variables!$B$4,$D$12="SI",$D$19="NO",$D$13="SI",$D$15="NO",B252&gt;18),(PMT(0.06/12,$K$9,-$C$51)-PMT(0.045/12,$K$9,-$C$51)),IF(AND($D$8=Variables!$B$4,$D$12="SI",$D$19="NO",$D$13="SI",$D$15="SI",B252&gt;24),(PMT(0.06/12,$K$9,-$C$57)-PMT(0.045/12,$K$9,-$C$57)),0)))))</f>
        <v>111.43825839224587</v>
      </c>
      <c r="G252" s="14">
        <f>+IF(B252&gt;$K$9,"",IF($D$8=Variables!$B$6,0.21*IPMT('Sim Reg N° 800'!$D$18,'Sim Reg N° 800'!B252,'Sim Reg N° 800'!$K$9,-'Sim Reg N° 800'!$J$10),0))+F252*0.21</f>
        <v>23.402034262371632</v>
      </c>
      <c r="H252" s="14">
        <f t="shared" si="21"/>
        <v>742.86266444567434</v>
      </c>
      <c r="I252" s="14">
        <f t="shared" si="19"/>
        <v>0</v>
      </c>
      <c r="J252" s="14">
        <f t="shared" si="20"/>
        <v>742.86266444567434</v>
      </c>
      <c r="K252" s="26">
        <f t="shared" si="22"/>
        <v>222.85879933370231</v>
      </c>
      <c r="L252" s="21"/>
      <c r="M252" s="19"/>
      <c r="R252" s="20"/>
    </row>
    <row r="253" spans="1:18" hidden="1" x14ac:dyDescent="0.2">
      <c r="A253" s="7"/>
      <c r="B253" s="42">
        <v>220</v>
      </c>
      <c r="C253" s="14">
        <f t="shared" si="18"/>
        <v>66130.700374128734</v>
      </c>
      <c r="D253" s="14">
        <f>IF(B253&gt;$K$9,"",IF($D$8=Variables!$B$3,PPMT($D$18,B253,$K$9,-$J$10),IF($D$8=Variables!$B$6,PPMT($D$18,B253,$K$9,-$J$10),IF($D$8=Variables!$B$5,PPMT($D$18,B253-12,$K$9-12,-$C$45),IF(AND($D$8=Variables!$B$4,$D$15="si"),0,PPMT($D$18,B253-18,$K$9-18,-$J$10-SUM($L$34:$L$51))))))+IF(AND($D$8=Variables!$B$4,'Sim Reg N° 800'!$D$15="SI"),PPMT($D$18,B253-24,$K$9-24,-$J$10-SUM($M$34:$M$57))))</f>
        <v>358.68716850617591</v>
      </c>
      <c r="E253" s="14">
        <f>IF(B253&gt;$K$9,"",IF($D$8=Variables!$B$3,IPMT($D$18,B253,$K$9,-$J$10),IF($D$8=Variables!$B$6,IPMT($D$18,B253,$K$9,-$J$10),IF($D$8=Variables!$B$5,IPMT($D$18,B253-12,$K$9-12,-$C$45),IF(AND($D$8=Variables!$B$4,$D$15="si"),0,IPMT($D$18,B253-18,$K$9-18,-$J$10-SUM($L$34:$L$51))))))+IF(AND($D$8=Variables!$B$4,'Sim Reg N° 800'!$D$15="SI"),IPMT($D$18,B253-24,$K$9-24,-$J$10-SUM($M$34:$M$57))))</f>
        <v>249.33520328488098</v>
      </c>
      <c r="F253" s="14">
        <f>IF(B253&gt;$K$9,"",IF(AND($D$8=Variables!$B$3,$D$12="SI",$D$19="NO",$D$13="SI",B253&gt;=7),(PMT(0.06/12,$K$9,-$C$33)-PMT(0.045/12,$K$9,-$C$33)),IF(AND($D$8=Variables!$B$5,$D$19="NO",$D$12="SI",$D$13="SI",B253&gt;12),(PMT(0.06/12,$K$9,-$C$45)-PMT(0.045/12,$K$9,-$C$45)),IF(AND($D$8=Variables!$B$4,$D$12="SI",$D$19="NO",$D$13="SI",$D$15="NO",B253&gt;18),(PMT(0.06/12,$K$9,-$C$51)-PMT(0.045/12,$K$9,-$C$51)),IF(AND($D$8=Variables!$B$4,$D$12="SI",$D$19="NO",$D$13="SI",$D$15="SI",B253&gt;24),(PMT(0.06/12,$K$9,-$C$57)-PMT(0.045/12,$K$9,-$C$57)),0)))))</f>
        <v>111.43825839224587</v>
      </c>
      <c r="G253" s="14">
        <f>+IF(B253&gt;$K$9,"",IF($D$8=Variables!$B$6,0.21*IPMT('Sim Reg N° 800'!$D$18,'Sim Reg N° 800'!B253,'Sim Reg N° 800'!$K$9,-'Sim Reg N° 800'!$J$10),0))+F253*0.21</f>
        <v>23.402034262371632</v>
      </c>
      <c r="H253" s="14">
        <f t="shared" si="21"/>
        <v>742.86266444567445</v>
      </c>
      <c r="I253" s="14">
        <f t="shared" si="19"/>
        <v>0</v>
      </c>
      <c r="J253" s="14">
        <f t="shared" si="20"/>
        <v>742.86266444567445</v>
      </c>
      <c r="K253" s="26">
        <f t="shared" si="22"/>
        <v>222.85879933370234</v>
      </c>
      <c r="L253" s="21"/>
      <c r="M253" s="19"/>
      <c r="R253" s="20"/>
    </row>
    <row r="254" spans="1:18" hidden="1" x14ac:dyDescent="0.2">
      <c r="A254" s="7"/>
      <c r="B254" s="42">
        <v>221</v>
      </c>
      <c r="C254" s="14">
        <f t="shared" si="18"/>
        <v>65770.668128740654</v>
      </c>
      <c r="D254" s="14">
        <f>IF(B254&gt;$K$9,"",IF($D$8=Variables!$B$3,PPMT($D$18,B254,$K$9,-$J$10),IF($D$8=Variables!$B$6,PPMT($D$18,B254,$K$9,-$J$10),IF($D$8=Variables!$B$5,PPMT($D$18,B254-12,$K$9-12,-$C$45),IF(AND($D$8=Variables!$B$4,$D$15="si"),0,PPMT($D$18,B254-18,$K$9-18,-$J$10-SUM($L$34:$L$51))))))+IF(AND($D$8=Variables!$B$4,'Sim Reg N° 800'!$D$15="SI"),PPMT($D$18,B254-24,$K$9-24,-$J$10-SUM($M$34:$M$57))))</f>
        <v>360.03224538807405</v>
      </c>
      <c r="E254" s="14">
        <f>IF(B254&gt;$K$9,"",IF($D$8=Variables!$B$3,IPMT($D$18,B254,$K$9,-$J$10),IF($D$8=Variables!$B$6,IPMT($D$18,B254,$K$9,-$J$10),IF($D$8=Variables!$B$5,IPMT($D$18,B254-12,$K$9-12,-$C$45),IF(AND($D$8=Variables!$B$4,$D$15="si"),0,IPMT($D$18,B254-18,$K$9-18,-$J$10-SUM($L$34:$L$51))))))+IF(AND($D$8=Variables!$B$4,'Sim Reg N° 800'!$D$15="SI"),IPMT($D$18,B254-24,$K$9-24,-$J$10-SUM($M$34:$M$57))))</f>
        <v>247.99012640298284</v>
      </c>
      <c r="F254" s="14">
        <f>IF(B254&gt;$K$9,"",IF(AND($D$8=Variables!$B$3,$D$12="SI",$D$19="NO",$D$13="SI",B254&gt;=7),(PMT(0.06/12,$K$9,-$C$33)-PMT(0.045/12,$K$9,-$C$33)),IF(AND($D$8=Variables!$B$5,$D$19="NO",$D$12="SI",$D$13="SI",B254&gt;12),(PMT(0.06/12,$K$9,-$C$45)-PMT(0.045/12,$K$9,-$C$45)),IF(AND($D$8=Variables!$B$4,$D$12="SI",$D$19="NO",$D$13="SI",$D$15="NO",B254&gt;18),(PMT(0.06/12,$K$9,-$C$51)-PMT(0.045/12,$K$9,-$C$51)),IF(AND($D$8=Variables!$B$4,$D$12="SI",$D$19="NO",$D$13="SI",$D$15="SI",B254&gt;24),(PMT(0.06/12,$K$9,-$C$57)-PMT(0.045/12,$K$9,-$C$57)),0)))))</f>
        <v>111.43825839224587</v>
      </c>
      <c r="G254" s="14">
        <f>+IF(B254&gt;$K$9,"",IF($D$8=Variables!$B$6,0.21*IPMT('Sim Reg N° 800'!$D$18,'Sim Reg N° 800'!B254,'Sim Reg N° 800'!$K$9,-'Sim Reg N° 800'!$J$10),0))+F254*0.21</f>
        <v>23.402034262371632</v>
      </c>
      <c r="H254" s="14">
        <f t="shared" si="21"/>
        <v>742.86266444567445</v>
      </c>
      <c r="I254" s="14">
        <f t="shared" si="19"/>
        <v>0</v>
      </c>
      <c r="J254" s="14">
        <f t="shared" si="20"/>
        <v>742.86266444567445</v>
      </c>
      <c r="K254" s="26">
        <f t="shared" si="22"/>
        <v>222.85879933370234</v>
      </c>
      <c r="L254" s="21"/>
      <c r="M254" s="19"/>
      <c r="R254" s="20"/>
    </row>
    <row r="255" spans="1:18" hidden="1" x14ac:dyDescent="0.2">
      <c r="A255" s="7"/>
      <c r="B255" s="42">
        <v>222</v>
      </c>
      <c r="C255" s="14">
        <f t="shared" si="18"/>
        <v>65409.285762432373</v>
      </c>
      <c r="D255" s="14">
        <f>IF(B255&gt;$K$9,"",IF($D$8=Variables!$B$3,PPMT($D$18,B255,$K$9,-$J$10),IF($D$8=Variables!$B$6,PPMT($D$18,B255,$K$9,-$J$10),IF($D$8=Variables!$B$5,PPMT($D$18,B255-12,$K$9-12,-$C$45),IF(AND($D$8=Variables!$B$4,$D$15="si"),0,PPMT($D$18,B255-18,$K$9-18,-$J$10-SUM($L$34:$L$51))))))+IF(AND($D$8=Variables!$B$4,'Sim Reg N° 800'!$D$15="SI"),PPMT($D$18,B255-24,$K$9-24,-$J$10-SUM($M$34:$M$57))))</f>
        <v>361.38236630827936</v>
      </c>
      <c r="E255" s="14">
        <f>IF(B255&gt;$K$9,"",IF($D$8=Variables!$B$3,IPMT($D$18,B255,$K$9,-$J$10),IF($D$8=Variables!$B$6,IPMT($D$18,B255,$K$9,-$J$10),IF($D$8=Variables!$B$5,IPMT($D$18,B255-12,$K$9-12,-$C$45),IF(AND($D$8=Variables!$B$4,$D$15="si"),0,IPMT($D$18,B255-18,$K$9-18,-$J$10-SUM($L$34:$L$51))))))+IF(AND($D$8=Variables!$B$4,'Sim Reg N° 800'!$D$15="SI"),IPMT($D$18,B255-24,$K$9-24,-$J$10-SUM($M$34:$M$57))))</f>
        <v>246.6400054827775</v>
      </c>
      <c r="F255" s="14">
        <f>IF(B255&gt;$K$9,"",IF(AND($D$8=Variables!$B$3,$D$12="SI",$D$19="NO",$D$13="SI",B255&gt;=7),(PMT(0.06/12,$K$9,-$C$33)-PMT(0.045/12,$K$9,-$C$33)),IF(AND($D$8=Variables!$B$5,$D$19="NO",$D$12="SI",$D$13="SI",B255&gt;12),(PMT(0.06/12,$K$9,-$C$45)-PMT(0.045/12,$K$9,-$C$45)),IF(AND($D$8=Variables!$B$4,$D$12="SI",$D$19="NO",$D$13="SI",$D$15="NO",B255&gt;18),(PMT(0.06/12,$K$9,-$C$51)-PMT(0.045/12,$K$9,-$C$51)),IF(AND($D$8=Variables!$B$4,$D$12="SI",$D$19="NO",$D$13="SI",$D$15="SI",B255&gt;24),(PMT(0.06/12,$K$9,-$C$57)-PMT(0.045/12,$K$9,-$C$57)),0)))))</f>
        <v>111.43825839224587</v>
      </c>
      <c r="G255" s="14">
        <f>+IF(B255&gt;$K$9,"",IF($D$8=Variables!$B$6,0.21*IPMT('Sim Reg N° 800'!$D$18,'Sim Reg N° 800'!B255,'Sim Reg N° 800'!$K$9,-'Sim Reg N° 800'!$J$10),0))+F255*0.21</f>
        <v>23.402034262371632</v>
      </c>
      <c r="H255" s="14">
        <f t="shared" si="21"/>
        <v>742.86266444567434</v>
      </c>
      <c r="I255" s="14">
        <f t="shared" si="19"/>
        <v>0</v>
      </c>
      <c r="J255" s="14">
        <f t="shared" si="20"/>
        <v>742.86266444567434</v>
      </c>
      <c r="K255" s="26">
        <f t="shared" si="22"/>
        <v>222.85879933370231</v>
      </c>
      <c r="L255" s="21"/>
      <c r="M255" s="19"/>
      <c r="R255" s="20"/>
    </row>
    <row r="256" spans="1:18" hidden="1" x14ac:dyDescent="0.2">
      <c r="A256" s="7"/>
      <c r="B256" s="42">
        <v>223</v>
      </c>
      <c r="C256" s="14">
        <f t="shared" si="18"/>
        <v>65046.54821225044</v>
      </c>
      <c r="D256" s="14">
        <f>IF(B256&gt;$K$9,"",IF($D$8=Variables!$B$3,PPMT($D$18,B256,$K$9,-$J$10),IF($D$8=Variables!$B$6,PPMT($D$18,B256,$K$9,-$J$10),IF($D$8=Variables!$B$5,PPMT($D$18,B256-12,$K$9-12,-$C$45),IF(AND($D$8=Variables!$B$4,$D$15="si"),0,PPMT($D$18,B256-18,$K$9-18,-$J$10-SUM($L$34:$L$51))))))+IF(AND($D$8=Variables!$B$4,'Sim Reg N° 800'!$D$15="SI"),PPMT($D$18,B256-24,$K$9-24,-$J$10-SUM($M$34:$M$57))))</f>
        <v>362.73755018193538</v>
      </c>
      <c r="E256" s="14">
        <f>IF(B256&gt;$K$9,"",IF($D$8=Variables!$B$3,IPMT($D$18,B256,$K$9,-$J$10),IF($D$8=Variables!$B$6,IPMT($D$18,B256,$K$9,-$J$10),IF($D$8=Variables!$B$5,IPMT($D$18,B256-12,$K$9-12,-$C$45),IF(AND($D$8=Variables!$B$4,$D$15="si"),0,IPMT($D$18,B256-18,$K$9-18,-$J$10-SUM($L$34:$L$51))))))+IF(AND($D$8=Variables!$B$4,'Sim Reg N° 800'!$D$15="SI"),IPMT($D$18,B256-24,$K$9-24,-$J$10-SUM($M$34:$M$57))))</f>
        <v>245.28482160912148</v>
      </c>
      <c r="F256" s="14">
        <f>IF(B256&gt;$K$9,"",IF(AND($D$8=Variables!$B$3,$D$12="SI",$D$19="NO",$D$13="SI",B256&gt;=7),(PMT(0.06/12,$K$9,-$C$33)-PMT(0.045/12,$K$9,-$C$33)),IF(AND($D$8=Variables!$B$5,$D$19="NO",$D$12="SI",$D$13="SI",B256&gt;12),(PMT(0.06/12,$K$9,-$C$45)-PMT(0.045/12,$K$9,-$C$45)),IF(AND($D$8=Variables!$B$4,$D$12="SI",$D$19="NO",$D$13="SI",$D$15="NO",B256&gt;18),(PMT(0.06/12,$K$9,-$C$51)-PMT(0.045/12,$K$9,-$C$51)),IF(AND($D$8=Variables!$B$4,$D$12="SI",$D$19="NO",$D$13="SI",$D$15="SI",B256&gt;24),(PMT(0.06/12,$K$9,-$C$57)-PMT(0.045/12,$K$9,-$C$57)),0)))))</f>
        <v>111.43825839224587</v>
      </c>
      <c r="G256" s="14">
        <f>+IF(B256&gt;$K$9,"",IF($D$8=Variables!$B$6,0.21*IPMT('Sim Reg N° 800'!$D$18,'Sim Reg N° 800'!B256,'Sim Reg N° 800'!$K$9,-'Sim Reg N° 800'!$J$10),0))+F256*0.21</f>
        <v>23.402034262371632</v>
      </c>
      <c r="H256" s="14">
        <f t="shared" si="21"/>
        <v>742.86266444567434</v>
      </c>
      <c r="I256" s="14">
        <f t="shared" si="19"/>
        <v>0</v>
      </c>
      <c r="J256" s="14">
        <f t="shared" si="20"/>
        <v>742.86266444567434</v>
      </c>
      <c r="K256" s="26">
        <f t="shared" si="22"/>
        <v>222.85879933370231</v>
      </c>
      <c r="L256" s="21"/>
      <c r="M256" s="19"/>
      <c r="R256" s="20"/>
    </row>
    <row r="257" spans="1:18" hidden="1" x14ac:dyDescent="0.2">
      <c r="A257" s="7"/>
      <c r="B257" s="42">
        <v>224</v>
      </c>
      <c r="C257" s="14">
        <f t="shared" si="18"/>
        <v>64682.450396255321</v>
      </c>
      <c r="D257" s="14">
        <f>IF(B257&gt;$K$9,"",IF($D$8=Variables!$B$3,PPMT($D$18,B257,$K$9,-$J$10),IF($D$8=Variables!$B$6,PPMT($D$18,B257,$K$9,-$J$10),IF($D$8=Variables!$B$5,PPMT($D$18,B257-12,$K$9-12,-$C$45),IF(AND($D$8=Variables!$B$4,$D$15="si"),0,PPMT($D$18,B257-18,$K$9-18,-$J$10-SUM($L$34:$L$51))))))+IF(AND($D$8=Variables!$B$4,'Sim Reg N° 800'!$D$15="SI"),PPMT($D$18,B257-24,$K$9-24,-$J$10-SUM($M$34:$M$57))))</f>
        <v>364.09781599511768</v>
      </c>
      <c r="E257" s="14">
        <f>IF(B257&gt;$K$9,"",IF($D$8=Variables!$B$3,IPMT($D$18,B257,$K$9,-$J$10),IF($D$8=Variables!$B$6,IPMT($D$18,B257,$K$9,-$J$10),IF($D$8=Variables!$B$5,IPMT($D$18,B257-12,$K$9-12,-$C$45),IF(AND($D$8=Variables!$B$4,$D$15="si"),0,IPMT($D$18,B257-18,$K$9-18,-$J$10-SUM($L$34:$L$51))))))+IF(AND($D$8=Variables!$B$4,'Sim Reg N° 800'!$D$15="SI"),IPMT($D$18,B257-24,$K$9-24,-$J$10-SUM($M$34:$M$57))))</f>
        <v>243.92455579593917</v>
      </c>
      <c r="F257" s="14">
        <f>IF(B257&gt;$K$9,"",IF(AND($D$8=Variables!$B$3,$D$12="SI",$D$19="NO",$D$13="SI",B257&gt;=7),(PMT(0.06/12,$K$9,-$C$33)-PMT(0.045/12,$K$9,-$C$33)),IF(AND($D$8=Variables!$B$5,$D$19="NO",$D$12="SI",$D$13="SI",B257&gt;12),(PMT(0.06/12,$K$9,-$C$45)-PMT(0.045/12,$K$9,-$C$45)),IF(AND($D$8=Variables!$B$4,$D$12="SI",$D$19="NO",$D$13="SI",$D$15="NO",B257&gt;18),(PMT(0.06/12,$K$9,-$C$51)-PMT(0.045/12,$K$9,-$C$51)),IF(AND($D$8=Variables!$B$4,$D$12="SI",$D$19="NO",$D$13="SI",$D$15="SI",B257&gt;24),(PMT(0.06/12,$K$9,-$C$57)-PMT(0.045/12,$K$9,-$C$57)),0)))))</f>
        <v>111.43825839224587</v>
      </c>
      <c r="G257" s="14">
        <f>+IF(B257&gt;$K$9,"",IF($D$8=Variables!$B$6,0.21*IPMT('Sim Reg N° 800'!$D$18,'Sim Reg N° 800'!B257,'Sim Reg N° 800'!$K$9,-'Sim Reg N° 800'!$J$10),0))+F257*0.21</f>
        <v>23.402034262371632</v>
      </c>
      <c r="H257" s="14">
        <f t="shared" si="21"/>
        <v>742.86266444567434</v>
      </c>
      <c r="I257" s="14">
        <f t="shared" si="19"/>
        <v>0</v>
      </c>
      <c r="J257" s="14">
        <f t="shared" si="20"/>
        <v>742.86266444567434</v>
      </c>
      <c r="K257" s="26">
        <f t="shared" si="22"/>
        <v>222.85879933370231</v>
      </c>
      <c r="L257" s="21"/>
      <c r="M257" s="19"/>
      <c r="R257" s="20"/>
    </row>
    <row r="258" spans="1:18" hidden="1" x14ac:dyDescent="0.2">
      <c r="A258" s="7"/>
      <c r="B258" s="42">
        <v>225</v>
      </c>
      <c r="C258" s="14">
        <f t="shared" si="18"/>
        <v>64316.987213450222</v>
      </c>
      <c r="D258" s="14">
        <f>IF(B258&gt;$K$9,"",IF($D$8=Variables!$B$3,PPMT($D$18,B258,$K$9,-$J$10),IF($D$8=Variables!$B$6,PPMT($D$18,B258,$K$9,-$J$10),IF($D$8=Variables!$B$5,PPMT($D$18,B258-12,$K$9-12,-$C$45),IF(AND($D$8=Variables!$B$4,$D$15="si"),0,PPMT($D$18,B258-18,$K$9-18,-$J$10-SUM($L$34:$L$51))))))+IF(AND($D$8=Variables!$B$4,'Sim Reg N° 800'!$D$15="SI"),PPMT($D$18,B258-24,$K$9-24,-$J$10-SUM($M$34:$M$57))))</f>
        <v>365.46318280509934</v>
      </c>
      <c r="E258" s="14">
        <f>IF(B258&gt;$K$9,"",IF($D$8=Variables!$B$3,IPMT($D$18,B258,$K$9,-$J$10),IF($D$8=Variables!$B$6,IPMT($D$18,B258,$K$9,-$J$10),IF($D$8=Variables!$B$5,IPMT($D$18,B258-12,$K$9-12,-$C$45),IF(AND($D$8=Variables!$B$4,$D$15="si"),0,IPMT($D$18,B258-18,$K$9-18,-$J$10-SUM($L$34:$L$51))))))+IF(AND($D$8=Variables!$B$4,'Sim Reg N° 800'!$D$15="SI"),IPMT($D$18,B258-24,$K$9-24,-$J$10-SUM($M$34:$M$57))))</f>
        <v>242.55918898595752</v>
      </c>
      <c r="F258" s="14">
        <f>IF(B258&gt;$K$9,"",IF(AND($D$8=Variables!$B$3,$D$12="SI",$D$19="NO",$D$13="SI",B258&gt;=7),(PMT(0.06/12,$K$9,-$C$33)-PMT(0.045/12,$K$9,-$C$33)),IF(AND($D$8=Variables!$B$5,$D$19="NO",$D$12="SI",$D$13="SI",B258&gt;12),(PMT(0.06/12,$K$9,-$C$45)-PMT(0.045/12,$K$9,-$C$45)),IF(AND($D$8=Variables!$B$4,$D$12="SI",$D$19="NO",$D$13="SI",$D$15="NO",B258&gt;18),(PMT(0.06/12,$K$9,-$C$51)-PMT(0.045/12,$K$9,-$C$51)),IF(AND($D$8=Variables!$B$4,$D$12="SI",$D$19="NO",$D$13="SI",$D$15="SI",B258&gt;24),(PMT(0.06/12,$K$9,-$C$57)-PMT(0.045/12,$K$9,-$C$57)),0)))))</f>
        <v>111.43825839224587</v>
      </c>
      <c r="G258" s="14">
        <f>+IF(B258&gt;$K$9,"",IF($D$8=Variables!$B$6,0.21*IPMT('Sim Reg N° 800'!$D$18,'Sim Reg N° 800'!B258,'Sim Reg N° 800'!$K$9,-'Sim Reg N° 800'!$J$10),0))+F258*0.21</f>
        <v>23.402034262371632</v>
      </c>
      <c r="H258" s="14">
        <f t="shared" si="21"/>
        <v>742.86266444567434</v>
      </c>
      <c r="I258" s="14">
        <f t="shared" si="19"/>
        <v>0</v>
      </c>
      <c r="J258" s="14">
        <f t="shared" si="20"/>
        <v>742.86266444567434</v>
      </c>
      <c r="K258" s="26">
        <f t="shared" si="22"/>
        <v>222.85879933370231</v>
      </c>
      <c r="L258" s="21"/>
      <c r="M258" s="19"/>
      <c r="R258" s="20"/>
    </row>
    <row r="259" spans="1:18" hidden="1" x14ac:dyDescent="0.2">
      <c r="A259" s="7"/>
      <c r="B259" s="42">
        <v>226</v>
      </c>
      <c r="C259" s="14">
        <f t="shared" si="18"/>
        <v>63950.153543709603</v>
      </c>
      <c r="D259" s="14">
        <f>IF(B259&gt;$K$9,"",IF($D$8=Variables!$B$3,PPMT($D$18,B259,$K$9,-$J$10),IF($D$8=Variables!$B$6,PPMT($D$18,B259,$K$9,-$J$10),IF($D$8=Variables!$B$5,PPMT($D$18,B259-12,$K$9-12,-$C$45),IF(AND($D$8=Variables!$B$4,$D$15="si"),0,PPMT($D$18,B259-18,$K$9-18,-$J$10-SUM($L$34:$L$51))))))+IF(AND($D$8=Variables!$B$4,'Sim Reg N° 800'!$D$15="SI"),PPMT($D$18,B259-24,$K$9-24,-$J$10-SUM($M$34:$M$57))))</f>
        <v>366.8336697406184</v>
      </c>
      <c r="E259" s="14">
        <f>IF(B259&gt;$K$9,"",IF($D$8=Variables!$B$3,IPMT($D$18,B259,$K$9,-$J$10),IF($D$8=Variables!$B$6,IPMT($D$18,B259,$K$9,-$J$10),IF($D$8=Variables!$B$5,IPMT($D$18,B259-12,$K$9-12,-$C$45),IF(AND($D$8=Variables!$B$4,$D$15="si"),0,IPMT($D$18,B259-18,$K$9-18,-$J$10-SUM($L$34:$L$51))))))+IF(AND($D$8=Variables!$B$4,'Sim Reg N° 800'!$D$15="SI"),IPMT($D$18,B259-24,$K$9-24,-$J$10-SUM($M$34:$M$57))))</f>
        <v>241.18870205043839</v>
      </c>
      <c r="F259" s="14">
        <f>IF(B259&gt;$K$9,"",IF(AND($D$8=Variables!$B$3,$D$12="SI",$D$19="NO",$D$13="SI",B259&gt;=7),(PMT(0.06/12,$K$9,-$C$33)-PMT(0.045/12,$K$9,-$C$33)),IF(AND($D$8=Variables!$B$5,$D$19="NO",$D$12="SI",$D$13="SI",B259&gt;12),(PMT(0.06/12,$K$9,-$C$45)-PMT(0.045/12,$K$9,-$C$45)),IF(AND($D$8=Variables!$B$4,$D$12="SI",$D$19="NO",$D$13="SI",$D$15="NO",B259&gt;18),(PMT(0.06/12,$K$9,-$C$51)-PMT(0.045/12,$K$9,-$C$51)),IF(AND($D$8=Variables!$B$4,$D$12="SI",$D$19="NO",$D$13="SI",$D$15="SI",B259&gt;24),(PMT(0.06/12,$K$9,-$C$57)-PMT(0.045/12,$K$9,-$C$57)),0)))))</f>
        <v>111.43825839224587</v>
      </c>
      <c r="G259" s="14">
        <f>+IF(B259&gt;$K$9,"",IF($D$8=Variables!$B$6,0.21*IPMT('Sim Reg N° 800'!$D$18,'Sim Reg N° 800'!B259,'Sim Reg N° 800'!$K$9,-'Sim Reg N° 800'!$J$10),0))+F259*0.21</f>
        <v>23.402034262371632</v>
      </c>
      <c r="H259" s="14">
        <f t="shared" si="21"/>
        <v>742.86266444567423</v>
      </c>
      <c r="I259" s="14">
        <f t="shared" si="19"/>
        <v>0</v>
      </c>
      <c r="J259" s="14">
        <f t="shared" si="20"/>
        <v>742.86266444567423</v>
      </c>
      <c r="K259" s="26">
        <f t="shared" si="22"/>
        <v>222.85879933370225</v>
      </c>
      <c r="L259" s="21"/>
      <c r="M259" s="19"/>
      <c r="R259" s="20"/>
    </row>
    <row r="260" spans="1:18" hidden="1" x14ac:dyDescent="0.2">
      <c r="A260" s="7"/>
      <c r="B260" s="42">
        <v>227</v>
      </c>
      <c r="C260" s="14">
        <f t="shared" si="18"/>
        <v>63581.944247707455</v>
      </c>
      <c r="D260" s="14">
        <f>IF(B260&gt;$K$9,"",IF($D$8=Variables!$B$3,PPMT($D$18,B260,$K$9,-$J$10),IF($D$8=Variables!$B$6,PPMT($D$18,B260,$K$9,-$J$10),IF($D$8=Variables!$B$5,PPMT($D$18,B260-12,$K$9-12,-$C$45),IF(AND($D$8=Variables!$B$4,$D$15="si"),0,PPMT($D$18,B260-18,$K$9-18,-$J$10-SUM($L$34:$L$51))))))+IF(AND($D$8=Variables!$B$4,'Sim Reg N° 800'!$D$15="SI"),PPMT($D$18,B260-24,$K$9-24,-$J$10-SUM($M$34:$M$57))))</f>
        <v>368.20929600214572</v>
      </c>
      <c r="E260" s="14">
        <f>IF(B260&gt;$K$9,"",IF($D$8=Variables!$B$3,IPMT($D$18,B260,$K$9,-$J$10),IF($D$8=Variables!$B$6,IPMT($D$18,B260,$K$9,-$J$10),IF($D$8=Variables!$B$5,IPMT($D$18,B260-12,$K$9-12,-$C$45),IF(AND($D$8=Variables!$B$4,$D$15="si"),0,IPMT($D$18,B260-18,$K$9-18,-$J$10-SUM($L$34:$L$51))))))+IF(AND($D$8=Variables!$B$4,'Sim Reg N° 800'!$D$15="SI"),IPMT($D$18,B260-24,$K$9-24,-$J$10-SUM($M$34:$M$57))))</f>
        <v>239.81307578891102</v>
      </c>
      <c r="F260" s="14">
        <f>IF(B260&gt;$K$9,"",IF(AND($D$8=Variables!$B$3,$D$12="SI",$D$19="NO",$D$13="SI",B260&gt;=7),(PMT(0.06/12,$K$9,-$C$33)-PMT(0.045/12,$K$9,-$C$33)),IF(AND($D$8=Variables!$B$5,$D$19="NO",$D$12="SI",$D$13="SI",B260&gt;12),(PMT(0.06/12,$K$9,-$C$45)-PMT(0.045/12,$K$9,-$C$45)),IF(AND($D$8=Variables!$B$4,$D$12="SI",$D$19="NO",$D$13="SI",$D$15="NO",B260&gt;18),(PMT(0.06/12,$K$9,-$C$51)-PMT(0.045/12,$K$9,-$C$51)),IF(AND($D$8=Variables!$B$4,$D$12="SI",$D$19="NO",$D$13="SI",$D$15="SI",B260&gt;24),(PMT(0.06/12,$K$9,-$C$57)-PMT(0.045/12,$K$9,-$C$57)),0)))))</f>
        <v>111.43825839224587</v>
      </c>
      <c r="G260" s="14">
        <f>+IF(B260&gt;$K$9,"",IF($D$8=Variables!$B$6,0.21*IPMT('Sim Reg N° 800'!$D$18,'Sim Reg N° 800'!B260,'Sim Reg N° 800'!$K$9,-'Sim Reg N° 800'!$J$10),0))+F260*0.21</f>
        <v>23.402034262371632</v>
      </c>
      <c r="H260" s="14">
        <f t="shared" si="21"/>
        <v>742.86266444567423</v>
      </c>
      <c r="I260" s="14">
        <f t="shared" si="19"/>
        <v>0</v>
      </c>
      <c r="J260" s="14">
        <f t="shared" si="20"/>
        <v>742.86266444567423</v>
      </c>
      <c r="K260" s="26">
        <f t="shared" si="22"/>
        <v>222.85879933370225</v>
      </c>
      <c r="L260" s="21"/>
      <c r="M260" s="19"/>
      <c r="R260" s="20"/>
    </row>
    <row r="261" spans="1:18" hidden="1" x14ac:dyDescent="0.2">
      <c r="A261" s="7"/>
      <c r="B261" s="42">
        <v>228</v>
      </c>
      <c r="C261" s="14">
        <f t="shared" si="18"/>
        <v>63212.354166845304</v>
      </c>
      <c r="D261" s="14">
        <f>IF(B261&gt;$K$9,"",IF($D$8=Variables!$B$3,PPMT($D$18,B261,$K$9,-$J$10),IF($D$8=Variables!$B$6,PPMT($D$18,B261,$K$9,-$J$10),IF($D$8=Variables!$B$5,PPMT($D$18,B261-12,$K$9-12,-$C$45),IF(AND($D$8=Variables!$B$4,$D$15="si"),0,PPMT($D$18,B261-18,$K$9-18,-$J$10-SUM($L$34:$L$51))))))+IF(AND($D$8=Variables!$B$4,'Sim Reg N° 800'!$D$15="SI"),PPMT($D$18,B261-24,$K$9-24,-$J$10-SUM($M$34:$M$57))))</f>
        <v>369.5900808621538</v>
      </c>
      <c r="E261" s="14">
        <f>IF(B261&gt;$K$9,"",IF($D$8=Variables!$B$3,IPMT($D$18,B261,$K$9,-$J$10),IF($D$8=Variables!$B$6,IPMT($D$18,B261,$K$9,-$J$10),IF($D$8=Variables!$B$5,IPMT($D$18,B261-12,$K$9-12,-$C$45),IF(AND($D$8=Variables!$B$4,$D$15="si"),0,IPMT($D$18,B261-18,$K$9-18,-$J$10-SUM($L$34:$L$51))))))+IF(AND($D$8=Variables!$B$4,'Sim Reg N° 800'!$D$15="SI"),IPMT($D$18,B261-24,$K$9-24,-$J$10-SUM($M$34:$M$57))))</f>
        <v>238.43229092890303</v>
      </c>
      <c r="F261" s="14">
        <f>IF(B261&gt;$K$9,"",IF(AND($D$8=Variables!$B$3,$D$12="SI",$D$19="NO",$D$13="SI",B261&gt;=7),(PMT(0.06/12,$K$9,-$C$33)-PMT(0.045/12,$K$9,-$C$33)),IF(AND($D$8=Variables!$B$5,$D$19="NO",$D$12="SI",$D$13="SI",B261&gt;12),(PMT(0.06/12,$K$9,-$C$45)-PMT(0.045/12,$K$9,-$C$45)),IF(AND($D$8=Variables!$B$4,$D$12="SI",$D$19="NO",$D$13="SI",$D$15="NO",B261&gt;18),(PMT(0.06/12,$K$9,-$C$51)-PMT(0.045/12,$K$9,-$C$51)),IF(AND($D$8=Variables!$B$4,$D$12="SI",$D$19="NO",$D$13="SI",$D$15="SI",B261&gt;24),(PMT(0.06/12,$K$9,-$C$57)-PMT(0.045/12,$K$9,-$C$57)),0)))))</f>
        <v>111.43825839224587</v>
      </c>
      <c r="G261" s="14">
        <f>+IF(B261&gt;$K$9,"",IF($D$8=Variables!$B$6,0.21*IPMT('Sim Reg N° 800'!$D$18,'Sim Reg N° 800'!B261,'Sim Reg N° 800'!$K$9,-'Sim Reg N° 800'!$J$10),0))+F261*0.21</f>
        <v>23.402034262371632</v>
      </c>
      <c r="H261" s="14">
        <f t="shared" si="21"/>
        <v>742.86266444567434</v>
      </c>
      <c r="I261" s="14">
        <f t="shared" si="19"/>
        <v>0</v>
      </c>
      <c r="J261" s="14">
        <f t="shared" si="20"/>
        <v>742.86266444567434</v>
      </c>
      <c r="K261" s="26">
        <f t="shared" si="22"/>
        <v>222.85879933370231</v>
      </c>
      <c r="L261" s="21"/>
      <c r="M261" s="19"/>
      <c r="R261" s="20"/>
    </row>
    <row r="262" spans="1:18" hidden="1" x14ac:dyDescent="0.2">
      <c r="A262" s="7"/>
      <c r="B262" s="42">
        <v>229</v>
      </c>
      <c r="C262" s="14">
        <f t="shared" si="18"/>
        <v>62841.378123179915</v>
      </c>
      <c r="D262" s="14">
        <f>IF(B262&gt;$K$9,"",IF($D$8=Variables!$B$3,PPMT($D$18,B262,$K$9,-$J$10),IF($D$8=Variables!$B$6,PPMT($D$18,B262,$K$9,-$J$10),IF($D$8=Variables!$B$5,PPMT($D$18,B262-12,$K$9-12,-$C$45),IF(AND($D$8=Variables!$B$4,$D$15="si"),0,PPMT($D$18,B262-18,$K$9-18,-$J$10-SUM($L$34:$L$51))))))+IF(AND($D$8=Variables!$B$4,'Sim Reg N° 800'!$D$15="SI"),PPMT($D$18,B262-24,$K$9-24,-$J$10-SUM($M$34:$M$57))))</f>
        <v>370.9760436653869</v>
      </c>
      <c r="E262" s="14">
        <f>IF(B262&gt;$K$9,"",IF($D$8=Variables!$B$3,IPMT($D$18,B262,$K$9,-$J$10),IF($D$8=Variables!$B$6,IPMT($D$18,B262,$K$9,-$J$10),IF($D$8=Variables!$B$5,IPMT($D$18,B262-12,$K$9-12,-$C$45),IF(AND($D$8=Variables!$B$4,$D$15="si"),0,IPMT($D$18,B262-18,$K$9-18,-$J$10-SUM($L$34:$L$51))))))+IF(AND($D$8=Variables!$B$4,'Sim Reg N° 800'!$D$15="SI"),IPMT($D$18,B262-24,$K$9-24,-$J$10-SUM($M$34:$M$57))))</f>
        <v>237.04632812566993</v>
      </c>
      <c r="F262" s="14">
        <f>IF(B262&gt;$K$9,"",IF(AND($D$8=Variables!$B$3,$D$12="SI",$D$19="NO",$D$13="SI",B262&gt;=7),(PMT(0.06/12,$K$9,-$C$33)-PMT(0.045/12,$K$9,-$C$33)),IF(AND($D$8=Variables!$B$5,$D$19="NO",$D$12="SI",$D$13="SI",B262&gt;12),(PMT(0.06/12,$K$9,-$C$45)-PMT(0.045/12,$K$9,-$C$45)),IF(AND($D$8=Variables!$B$4,$D$12="SI",$D$19="NO",$D$13="SI",$D$15="NO",B262&gt;18),(PMT(0.06/12,$K$9,-$C$51)-PMT(0.045/12,$K$9,-$C$51)),IF(AND($D$8=Variables!$B$4,$D$12="SI",$D$19="NO",$D$13="SI",$D$15="SI",B262&gt;24),(PMT(0.06/12,$K$9,-$C$57)-PMT(0.045/12,$K$9,-$C$57)),0)))))</f>
        <v>111.43825839224587</v>
      </c>
      <c r="G262" s="14">
        <f>+IF(B262&gt;$K$9,"",IF($D$8=Variables!$B$6,0.21*IPMT('Sim Reg N° 800'!$D$18,'Sim Reg N° 800'!B262,'Sim Reg N° 800'!$K$9,-'Sim Reg N° 800'!$J$10),0))+F262*0.21</f>
        <v>23.402034262371632</v>
      </c>
      <c r="H262" s="14">
        <f t="shared" si="21"/>
        <v>742.86266444567434</v>
      </c>
      <c r="I262" s="14">
        <f t="shared" si="19"/>
        <v>95.999999999999986</v>
      </c>
      <c r="J262" s="14">
        <f t="shared" si="20"/>
        <v>838.86266444567434</v>
      </c>
      <c r="K262" s="26">
        <f t="shared" si="22"/>
        <v>251.65879933370229</v>
      </c>
      <c r="L262" s="21"/>
      <c r="M262" s="19"/>
      <c r="R262" s="20"/>
    </row>
    <row r="263" spans="1:18" hidden="1" x14ac:dyDescent="0.2">
      <c r="A263" s="7"/>
      <c r="B263" s="42">
        <v>230</v>
      </c>
      <c r="C263" s="14">
        <f t="shared" si="18"/>
        <v>62469.010919350781</v>
      </c>
      <c r="D263" s="14">
        <f>IF(B263&gt;$K$9,"",IF($D$8=Variables!$B$3,PPMT($D$18,B263,$K$9,-$J$10),IF($D$8=Variables!$B$6,PPMT($D$18,B263,$K$9,-$J$10),IF($D$8=Variables!$B$5,PPMT($D$18,B263-12,$K$9-12,-$C$45),IF(AND($D$8=Variables!$B$4,$D$15="si"),0,PPMT($D$18,B263-18,$K$9-18,-$J$10-SUM($L$34:$L$51))))))+IF(AND($D$8=Variables!$B$4,'Sim Reg N° 800'!$D$15="SI"),PPMT($D$18,B263-24,$K$9-24,-$J$10-SUM($M$34:$M$57))))</f>
        <v>372.36720382913211</v>
      </c>
      <c r="E263" s="14">
        <f>IF(B263&gt;$K$9,"",IF($D$8=Variables!$B$3,IPMT($D$18,B263,$K$9,-$J$10),IF($D$8=Variables!$B$6,IPMT($D$18,B263,$K$9,-$J$10),IF($D$8=Variables!$B$5,IPMT($D$18,B263-12,$K$9-12,-$C$45),IF(AND($D$8=Variables!$B$4,$D$15="si"),0,IPMT($D$18,B263-18,$K$9-18,-$J$10-SUM($L$34:$L$51))))))+IF(AND($D$8=Variables!$B$4,'Sim Reg N° 800'!$D$15="SI"),IPMT($D$18,B263-24,$K$9-24,-$J$10-SUM($M$34:$M$57))))</f>
        <v>235.65516796192477</v>
      </c>
      <c r="F263" s="14">
        <f>IF(B263&gt;$K$9,"",IF(AND($D$8=Variables!$B$3,$D$12="SI",$D$19="NO",$D$13="SI",B263&gt;=7),(PMT(0.06/12,$K$9,-$C$33)-PMT(0.045/12,$K$9,-$C$33)),IF(AND($D$8=Variables!$B$5,$D$19="NO",$D$12="SI",$D$13="SI",B263&gt;12),(PMT(0.06/12,$K$9,-$C$45)-PMT(0.045/12,$K$9,-$C$45)),IF(AND($D$8=Variables!$B$4,$D$12="SI",$D$19="NO",$D$13="SI",$D$15="NO",B263&gt;18),(PMT(0.06/12,$K$9,-$C$51)-PMT(0.045/12,$K$9,-$C$51)),IF(AND($D$8=Variables!$B$4,$D$12="SI",$D$19="NO",$D$13="SI",$D$15="SI",B263&gt;24),(PMT(0.06/12,$K$9,-$C$57)-PMT(0.045/12,$K$9,-$C$57)),0)))))</f>
        <v>111.43825839224587</v>
      </c>
      <c r="G263" s="14">
        <f>+IF(B263&gt;$K$9,"",IF($D$8=Variables!$B$6,0.21*IPMT('Sim Reg N° 800'!$D$18,'Sim Reg N° 800'!B263,'Sim Reg N° 800'!$K$9,-'Sim Reg N° 800'!$J$10),0))+F263*0.21</f>
        <v>23.402034262371632</v>
      </c>
      <c r="H263" s="14">
        <f t="shared" si="21"/>
        <v>742.86266444567445</v>
      </c>
      <c r="I263" s="14">
        <f t="shared" si="19"/>
        <v>0</v>
      </c>
      <c r="J263" s="14">
        <f t="shared" si="20"/>
        <v>742.86266444567445</v>
      </c>
      <c r="K263" s="26">
        <f t="shared" si="22"/>
        <v>222.85879933370234</v>
      </c>
      <c r="L263" s="21"/>
      <c r="M263" s="19"/>
      <c r="R263" s="20"/>
    </row>
    <row r="264" spans="1:18" hidden="1" x14ac:dyDescent="0.2">
      <c r="A264" s="7"/>
      <c r="B264" s="42">
        <v>231</v>
      </c>
      <c r="C264" s="14">
        <f t="shared" si="18"/>
        <v>62095.247338507288</v>
      </c>
      <c r="D264" s="14">
        <f>IF(B264&gt;$K$9,"",IF($D$8=Variables!$B$3,PPMT($D$18,B264,$K$9,-$J$10),IF($D$8=Variables!$B$6,PPMT($D$18,B264,$K$9,-$J$10),IF($D$8=Variables!$B$5,PPMT($D$18,B264-12,$K$9-12,-$C$45),IF(AND($D$8=Variables!$B$4,$D$15="si"),0,PPMT($D$18,B264-18,$K$9-18,-$J$10-SUM($L$34:$L$51))))))+IF(AND($D$8=Variables!$B$4,'Sim Reg N° 800'!$D$15="SI"),PPMT($D$18,B264-24,$K$9-24,-$J$10-SUM($M$34:$M$57))))</f>
        <v>373.7635808434913</v>
      </c>
      <c r="E264" s="14">
        <f>IF(B264&gt;$K$9,"",IF($D$8=Variables!$B$3,IPMT($D$18,B264,$K$9,-$J$10),IF($D$8=Variables!$B$6,IPMT($D$18,B264,$K$9,-$J$10),IF($D$8=Variables!$B$5,IPMT($D$18,B264-12,$K$9-12,-$C$45),IF(AND($D$8=Variables!$B$4,$D$15="si"),0,IPMT($D$18,B264-18,$K$9-18,-$J$10-SUM($L$34:$L$51))))))+IF(AND($D$8=Variables!$B$4,'Sim Reg N° 800'!$D$15="SI"),IPMT($D$18,B264-24,$K$9-24,-$J$10-SUM($M$34:$M$57))))</f>
        <v>234.25879094756553</v>
      </c>
      <c r="F264" s="14">
        <f>IF(B264&gt;$K$9,"",IF(AND($D$8=Variables!$B$3,$D$12="SI",$D$19="NO",$D$13="SI",B264&gt;=7),(PMT(0.06/12,$K$9,-$C$33)-PMT(0.045/12,$K$9,-$C$33)),IF(AND($D$8=Variables!$B$5,$D$19="NO",$D$12="SI",$D$13="SI",B264&gt;12),(PMT(0.06/12,$K$9,-$C$45)-PMT(0.045/12,$K$9,-$C$45)),IF(AND($D$8=Variables!$B$4,$D$12="SI",$D$19="NO",$D$13="SI",$D$15="NO",B264&gt;18),(PMT(0.06/12,$K$9,-$C$51)-PMT(0.045/12,$K$9,-$C$51)),IF(AND($D$8=Variables!$B$4,$D$12="SI",$D$19="NO",$D$13="SI",$D$15="SI",B264&gt;24),(PMT(0.06/12,$K$9,-$C$57)-PMT(0.045/12,$K$9,-$C$57)),0)))))</f>
        <v>111.43825839224587</v>
      </c>
      <c r="G264" s="14">
        <f>+IF(B264&gt;$K$9,"",IF($D$8=Variables!$B$6,0.21*IPMT('Sim Reg N° 800'!$D$18,'Sim Reg N° 800'!B264,'Sim Reg N° 800'!$K$9,-'Sim Reg N° 800'!$J$10),0))+F264*0.21</f>
        <v>23.402034262371632</v>
      </c>
      <c r="H264" s="14">
        <f t="shared" si="21"/>
        <v>742.86266444567434</v>
      </c>
      <c r="I264" s="14">
        <f t="shared" si="19"/>
        <v>0</v>
      </c>
      <c r="J264" s="14">
        <f t="shared" si="20"/>
        <v>742.86266444567434</v>
      </c>
      <c r="K264" s="26">
        <f t="shared" si="22"/>
        <v>222.85879933370231</v>
      </c>
      <c r="L264" s="21"/>
      <c r="M264" s="19"/>
      <c r="R264" s="20"/>
    </row>
    <row r="265" spans="1:18" hidden="1" x14ac:dyDescent="0.2">
      <c r="A265" s="7"/>
      <c r="B265" s="42">
        <v>232</v>
      </c>
      <c r="C265" s="14">
        <f t="shared" si="18"/>
        <v>61720.082144235632</v>
      </c>
      <c r="D265" s="14">
        <f>IF(B265&gt;$K$9,"",IF($D$8=Variables!$B$3,PPMT($D$18,B265,$K$9,-$J$10),IF($D$8=Variables!$B$6,PPMT($D$18,B265,$K$9,-$J$10),IF($D$8=Variables!$B$5,PPMT($D$18,B265-12,$K$9-12,-$C$45),IF(AND($D$8=Variables!$B$4,$D$15="si"),0,PPMT($D$18,B265-18,$K$9-18,-$J$10-SUM($L$34:$L$51))))))+IF(AND($D$8=Variables!$B$4,'Sim Reg N° 800'!$D$15="SI"),PPMT($D$18,B265-24,$K$9-24,-$J$10-SUM($M$34:$M$57))))</f>
        <v>375.16519427165446</v>
      </c>
      <c r="E265" s="14">
        <f>IF(B265&gt;$K$9,"",IF($D$8=Variables!$B$3,IPMT($D$18,B265,$K$9,-$J$10),IF($D$8=Variables!$B$6,IPMT($D$18,B265,$K$9,-$J$10),IF($D$8=Variables!$B$5,IPMT($D$18,B265-12,$K$9-12,-$C$45),IF(AND($D$8=Variables!$B$4,$D$15="si"),0,IPMT($D$18,B265-18,$K$9-18,-$J$10-SUM($L$34:$L$51))))))+IF(AND($D$8=Variables!$B$4,'Sim Reg N° 800'!$D$15="SI"),IPMT($D$18,B265-24,$K$9-24,-$J$10-SUM($M$34:$M$57))))</f>
        <v>232.85717751940243</v>
      </c>
      <c r="F265" s="14">
        <f>IF(B265&gt;$K$9,"",IF(AND($D$8=Variables!$B$3,$D$12="SI",$D$19="NO",$D$13="SI",B265&gt;=7),(PMT(0.06/12,$K$9,-$C$33)-PMT(0.045/12,$K$9,-$C$33)),IF(AND($D$8=Variables!$B$5,$D$19="NO",$D$12="SI",$D$13="SI",B265&gt;12),(PMT(0.06/12,$K$9,-$C$45)-PMT(0.045/12,$K$9,-$C$45)),IF(AND($D$8=Variables!$B$4,$D$12="SI",$D$19="NO",$D$13="SI",$D$15="NO",B265&gt;18),(PMT(0.06/12,$K$9,-$C$51)-PMT(0.045/12,$K$9,-$C$51)),IF(AND($D$8=Variables!$B$4,$D$12="SI",$D$19="NO",$D$13="SI",$D$15="SI",B265&gt;24),(PMT(0.06/12,$K$9,-$C$57)-PMT(0.045/12,$K$9,-$C$57)),0)))))</f>
        <v>111.43825839224587</v>
      </c>
      <c r="G265" s="14">
        <f>+IF(B265&gt;$K$9,"",IF($D$8=Variables!$B$6,0.21*IPMT('Sim Reg N° 800'!$D$18,'Sim Reg N° 800'!B265,'Sim Reg N° 800'!$K$9,-'Sim Reg N° 800'!$J$10),0))+F265*0.21</f>
        <v>23.402034262371632</v>
      </c>
      <c r="H265" s="14">
        <f t="shared" si="21"/>
        <v>742.86266444567445</v>
      </c>
      <c r="I265" s="14">
        <f t="shared" si="19"/>
        <v>0</v>
      </c>
      <c r="J265" s="14">
        <f t="shared" si="20"/>
        <v>742.86266444567445</v>
      </c>
      <c r="K265" s="26">
        <f t="shared" si="22"/>
        <v>222.85879933370234</v>
      </c>
      <c r="L265" s="21"/>
      <c r="M265" s="19"/>
      <c r="R265" s="20"/>
    </row>
    <row r="266" spans="1:18" hidden="1" x14ac:dyDescent="0.2">
      <c r="A266" s="7"/>
      <c r="B266" s="42">
        <v>233</v>
      </c>
      <c r="C266" s="14">
        <f t="shared" si="18"/>
        <v>61343.510080485459</v>
      </c>
      <c r="D266" s="14">
        <f>IF(B266&gt;$K$9,"",IF($D$8=Variables!$B$3,PPMT($D$18,B266,$K$9,-$J$10),IF($D$8=Variables!$B$6,PPMT($D$18,B266,$K$9,-$J$10),IF($D$8=Variables!$B$5,PPMT($D$18,B266-12,$K$9-12,-$C$45),IF(AND($D$8=Variables!$B$4,$D$15="si"),0,PPMT($D$18,B266-18,$K$9-18,-$J$10-SUM($L$34:$L$51))))))+IF(AND($D$8=Variables!$B$4,'Sim Reg N° 800'!$D$15="SI"),PPMT($D$18,B266-24,$K$9-24,-$J$10-SUM($M$34:$M$57))))</f>
        <v>376.57206375017313</v>
      </c>
      <c r="E266" s="14">
        <f>IF(B266&gt;$K$9,"",IF($D$8=Variables!$B$3,IPMT($D$18,B266,$K$9,-$J$10),IF($D$8=Variables!$B$6,IPMT($D$18,B266,$K$9,-$J$10),IF($D$8=Variables!$B$5,IPMT($D$18,B266-12,$K$9-12,-$C$45),IF(AND($D$8=Variables!$B$4,$D$15="si"),0,IPMT($D$18,B266-18,$K$9-18,-$J$10-SUM($L$34:$L$51))))))+IF(AND($D$8=Variables!$B$4,'Sim Reg N° 800'!$D$15="SI"),IPMT($D$18,B266-24,$K$9-24,-$J$10-SUM($M$34:$M$57))))</f>
        <v>231.45030804088373</v>
      </c>
      <c r="F266" s="14">
        <f>IF(B266&gt;$K$9,"",IF(AND($D$8=Variables!$B$3,$D$12="SI",$D$19="NO",$D$13="SI",B266&gt;=7),(PMT(0.06/12,$K$9,-$C$33)-PMT(0.045/12,$K$9,-$C$33)),IF(AND($D$8=Variables!$B$5,$D$19="NO",$D$12="SI",$D$13="SI",B266&gt;12),(PMT(0.06/12,$K$9,-$C$45)-PMT(0.045/12,$K$9,-$C$45)),IF(AND($D$8=Variables!$B$4,$D$12="SI",$D$19="NO",$D$13="SI",$D$15="NO",B266&gt;18),(PMT(0.06/12,$K$9,-$C$51)-PMT(0.045/12,$K$9,-$C$51)),IF(AND($D$8=Variables!$B$4,$D$12="SI",$D$19="NO",$D$13="SI",$D$15="SI",B266&gt;24),(PMT(0.06/12,$K$9,-$C$57)-PMT(0.045/12,$K$9,-$C$57)),0)))))</f>
        <v>111.43825839224587</v>
      </c>
      <c r="G266" s="14">
        <f>+IF(B266&gt;$K$9,"",IF($D$8=Variables!$B$6,0.21*IPMT('Sim Reg N° 800'!$D$18,'Sim Reg N° 800'!B266,'Sim Reg N° 800'!$K$9,-'Sim Reg N° 800'!$J$10),0))+F266*0.21</f>
        <v>23.402034262371632</v>
      </c>
      <c r="H266" s="14">
        <f t="shared" si="21"/>
        <v>742.86266444567434</v>
      </c>
      <c r="I266" s="14">
        <f t="shared" si="19"/>
        <v>0</v>
      </c>
      <c r="J266" s="14">
        <f t="shared" si="20"/>
        <v>742.86266444567434</v>
      </c>
      <c r="K266" s="26">
        <f t="shared" si="22"/>
        <v>222.85879933370231</v>
      </c>
      <c r="L266" s="21"/>
      <c r="M266" s="19"/>
      <c r="R266" s="20"/>
    </row>
    <row r="267" spans="1:18" hidden="1" x14ac:dyDescent="0.2">
      <c r="A267" s="7"/>
      <c r="B267" s="42">
        <v>234</v>
      </c>
      <c r="C267" s="14">
        <f t="shared" si="18"/>
        <v>60965.525871496226</v>
      </c>
      <c r="D267" s="14">
        <f>IF(B267&gt;$K$9,"",IF($D$8=Variables!$B$3,PPMT($D$18,B267,$K$9,-$J$10),IF($D$8=Variables!$B$6,PPMT($D$18,B267,$K$9,-$J$10),IF($D$8=Variables!$B$5,PPMT($D$18,B267-12,$K$9-12,-$C$45),IF(AND($D$8=Variables!$B$4,$D$15="si"),0,PPMT($D$18,B267-18,$K$9-18,-$J$10-SUM($L$34:$L$51))))))+IF(AND($D$8=Variables!$B$4,'Sim Reg N° 800'!$D$15="SI"),PPMT($D$18,B267-24,$K$9-24,-$J$10-SUM($M$34:$M$57))))</f>
        <v>377.98420898923632</v>
      </c>
      <c r="E267" s="14">
        <f>IF(B267&gt;$K$9,"",IF($D$8=Variables!$B$3,IPMT($D$18,B267,$K$9,-$J$10),IF($D$8=Variables!$B$6,IPMT($D$18,B267,$K$9,-$J$10),IF($D$8=Variables!$B$5,IPMT($D$18,B267-12,$K$9-12,-$C$45),IF(AND($D$8=Variables!$B$4,$D$15="si"),0,IPMT($D$18,B267-18,$K$9-18,-$J$10-SUM($L$34:$L$51))))))+IF(AND($D$8=Variables!$B$4,'Sim Reg N° 800'!$D$15="SI"),IPMT($D$18,B267-24,$K$9-24,-$J$10-SUM($M$34:$M$57))))</f>
        <v>230.03816280182053</v>
      </c>
      <c r="F267" s="14">
        <f>IF(B267&gt;$K$9,"",IF(AND($D$8=Variables!$B$3,$D$12="SI",$D$19="NO",$D$13="SI",B267&gt;=7),(PMT(0.06/12,$K$9,-$C$33)-PMT(0.045/12,$K$9,-$C$33)),IF(AND($D$8=Variables!$B$5,$D$19="NO",$D$12="SI",$D$13="SI",B267&gt;12),(PMT(0.06/12,$K$9,-$C$45)-PMT(0.045/12,$K$9,-$C$45)),IF(AND($D$8=Variables!$B$4,$D$12="SI",$D$19="NO",$D$13="SI",$D$15="NO",B267&gt;18),(PMT(0.06/12,$K$9,-$C$51)-PMT(0.045/12,$K$9,-$C$51)),IF(AND($D$8=Variables!$B$4,$D$12="SI",$D$19="NO",$D$13="SI",$D$15="SI",B267&gt;24),(PMT(0.06/12,$K$9,-$C$57)-PMT(0.045/12,$K$9,-$C$57)),0)))))</f>
        <v>111.43825839224587</v>
      </c>
      <c r="G267" s="14">
        <f>+IF(B267&gt;$K$9,"",IF($D$8=Variables!$B$6,0.21*IPMT('Sim Reg N° 800'!$D$18,'Sim Reg N° 800'!B267,'Sim Reg N° 800'!$K$9,-'Sim Reg N° 800'!$J$10),0))+F267*0.21</f>
        <v>23.402034262371632</v>
      </c>
      <c r="H267" s="14">
        <f t="shared" si="21"/>
        <v>742.86266444567434</v>
      </c>
      <c r="I267" s="14">
        <f t="shared" si="19"/>
        <v>0</v>
      </c>
      <c r="J267" s="14">
        <f t="shared" si="20"/>
        <v>742.86266444567434</v>
      </c>
      <c r="K267" s="26">
        <f t="shared" si="22"/>
        <v>222.85879933370231</v>
      </c>
      <c r="L267" s="21"/>
      <c r="M267" s="19"/>
      <c r="R267" s="20"/>
    </row>
    <row r="268" spans="1:18" hidden="1" x14ac:dyDescent="0.2">
      <c r="A268" s="7"/>
      <c r="B268" s="42">
        <v>235</v>
      </c>
      <c r="C268" s="14">
        <f t="shared" si="18"/>
        <v>60586.124221723279</v>
      </c>
      <c r="D268" s="14">
        <f>IF(B268&gt;$K$9,"",IF($D$8=Variables!$B$3,PPMT($D$18,B268,$K$9,-$J$10),IF($D$8=Variables!$B$6,PPMT($D$18,B268,$K$9,-$J$10),IF($D$8=Variables!$B$5,PPMT($D$18,B268-12,$K$9-12,-$C$45),IF(AND($D$8=Variables!$B$4,$D$15="si"),0,PPMT($D$18,B268-18,$K$9-18,-$J$10-SUM($L$34:$L$51))))))+IF(AND($D$8=Variables!$B$4,'Sim Reg N° 800'!$D$15="SI"),PPMT($D$18,B268-24,$K$9-24,-$J$10-SUM($M$34:$M$57))))</f>
        <v>379.40164977294597</v>
      </c>
      <c r="E268" s="14">
        <f>IF(B268&gt;$K$9,"",IF($D$8=Variables!$B$3,IPMT($D$18,B268,$K$9,-$J$10),IF($D$8=Variables!$B$6,IPMT($D$18,B268,$K$9,-$J$10),IF($D$8=Variables!$B$5,IPMT($D$18,B268-12,$K$9-12,-$C$45),IF(AND($D$8=Variables!$B$4,$D$15="si"),0,IPMT($D$18,B268-18,$K$9-18,-$J$10-SUM($L$34:$L$51))))))+IF(AND($D$8=Variables!$B$4,'Sim Reg N° 800'!$D$15="SI"),IPMT($D$18,B268-24,$K$9-24,-$J$10-SUM($M$34:$M$57))))</f>
        <v>228.62072201811094</v>
      </c>
      <c r="F268" s="14">
        <f>IF(B268&gt;$K$9,"",IF(AND($D$8=Variables!$B$3,$D$12="SI",$D$19="NO",$D$13="SI",B268&gt;=7),(PMT(0.06/12,$K$9,-$C$33)-PMT(0.045/12,$K$9,-$C$33)),IF(AND($D$8=Variables!$B$5,$D$19="NO",$D$12="SI",$D$13="SI",B268&gt;12),(PMT(0.06/12,$K$9,-$C$45)-PMT(0.045/12,$K$9,-$C$45)),IF(AND($D$8=Variables!$B$4,$D$12="SI",$D$19="NO",$D$13="SI",$D$15="NO",B268&gt;18),(PMT(0.06/12,$K$9,-$C$51)-PMT(0.045/12,$K$9,-$C$51)),IF(AND($D$8=Variables!$B$4,$D$12="SI",$D$19="NO",$D$13="SI",$D$15="SI",B268&gt;24),(PMT(0.06/12,$K$9,-$C$57)-PMT(0.045/12,$K$9,-$C$57)),0)))))</f>
        <v>111.43825839224587</v>
      </c>
      <c r="G268" s="14">
        <f>+IF(B268&gt;$K$9,"",IF($D$8=Variables!$B$6,0.21*IPMT('Sim Reg N° 800'!$D$18,'Sim Reg N° 800'!B268,'Sim Reg N° 800'!$K$9,-'Sim Reg N° 800'!$J$10),0))+F268*0.21</f>
        <v>23.402034262371632</v>
      </c>
      <c r="H268" s="14">
        <f t="shared" si="21"/>
        <v>742.86266444567445</v>
      </c>
      <c r="I268" s="14">
        <f t="shared" si="19"/>
        <v>0</v>
      </c>
      <c r="J268" s="14">
        <f t="shared" si="20"/>
        <v>742.86266444567445</v>
      </c>
      <c r="K268" s="26">
        <f t="shared" si="22"/>
        <v>222.85879933370234</v>
      </c>
      <c r="L268" s="21"/>
      <c r="M268" s="19"/>
      <c r="R268" s="20"/>
    </row>
    <row r="269" spans="1:18" hidden="1" x14ac:dyDescent="0.2">
      <c r="A269" s="7"/>
      <c r="B269" s="42">
        <v>236</v>
      </c>
      <c r="C269" s="14">
        <f t="shared" si="18"/>
        <v>60205.299815763683</v>
      </c>
      <c r="D269" s="14">
        <f>IF(B269&gt;$K$9,"",IF($D$8=Variables!$B$3,PPMT($D$18,B269,$K$9,-$J$10),IF($D$8=Variables!$B$6,PPMT($D$18,B269,$K$9,-$J$10),IF($D$8=Variables!$B$5,PPMT($D$18,B269-12,$K$9-12,-$C$45),IF(AND($D$8=Variables!$B$4,$D$15="si"),0,PPMT($D$18,B269-18,$K$9-18,-$J$10-SUM($L$34:$L$51))))))+IF(AND($D$8=Variables!$B$4,'Sim Reg N° 800'!$D$15="SI"),PPMT($D$18,B269-24,$K$9-24,-$J$10-SUM($M$34:$M$57))))</f>
        <v>380.82440595959451</v>
      </c>
      <c r="E269" s="14">
        <f>IF(B269&gt;$K$9,"",IF($D$8=Variables!$B$3,IPMT($D$18,B269,$K$9,-$J$10),IF($D$8=Variables!$B$6,IPMT($D$18,B269,$K$9,-$J$10),IF($D$8=Variables!$B$5,IPMT($D$18,B269-12,$K$9-12,-$C$45),IF(AND($D$8=Variables!$B$4,$D$15="si"),0,IPMT($D$18,B269-18,$K$9-18,-$J$10-SUM($L$34:$L$51))))))+IF(AND($D$8=Variables!$B$4,'Sim Reg N° 800'!$D$15="SI"),IPMT($D$18,B269-24,$K$9-24,-$J$10-SUM($M$34:$M$57))))</f>
        <v>227.19796583146237</v>
      </c>
      <c r="F269" s="14">
        <f>IF(B269&gt;$K$9,"",IF(AND($D$8=Variables!$B$3,$D$12="SI",$D$19="NO",$D$13="SI",B269&gt;=7),(PMT(0.06/12,$K$9,-$C$33)-PMT(0.045/12,$K$9,-$C$33)),IF(AND($D$8=Variables!$B$5,$D$19="NO",$D$12="SI",$D$13="SI",B269&gt;12),(PMT(0.06/12,$K$9,-$C$45)-PMT(0.045/12,$K$9,-$C$45)),IF(AND($D$8=Variables!$B$4,$D$12="SI",$D$19="NO",$D$13="SI",$D$15="NO",B269&gt;18),(PMT(0.06/12,$K$9,-$C$51)-PMT(0.045/12,$K$9,-$C$51)),IF(AND($D$8=Variables!$B$4,$D$12="SI",$D$19="NO",$D$13="SI",$D$15="SI",B269&gt;24),(PMT(0.06/12,$K$9,-$C$57)-PMT(0.045/12,$K$9,-$C$57)),0)))))</f>
        <v>111.43825839224587</v>
      </c>
      <c r="G269" s="14">
        <f>+IF(B269&gt;$K$9,"",IF($D$8=Variables!$B$6,0.21*IPMT('Sim Reg N° 800'!$D$18,'Sim Reg N° 800'!B269,'Sim Reg N° 800'!$K$9,-'Sim Reg N° 800'!$J$10),0))+F269*0.21</f>
        <v>23.402034262371632</v>
      </c>
      <c r="H269" s="14">
        <f t="shared" si="21"/>
        <v>742.86266444567445</v>
      </c>
      <c r="I269" s="14">
        <f t="shared" si="19"/>
        <v>0</v>
      </c>
      <c r="J269" s="14">
        <f t="shared" si="20"/>
        <v>742.86266444567445</v>
      </c>
      <c r="K269" s="26">
        <f t="shared" si="22"/>
        <v>222.85879933370234</v>
      </c>
      <c r="L269" s="21"/>
      <c r="M269" s="19"/>
      <c r="R269" s="20"/>
    </row>
    <row r="270" spans="1:18" hidden="1" x14ac:dyDescent="0.2">
      <c r="A270" s="7"/>
      <c r="B270" s="42">
        <v>237</v>
      </c>
      <c r="C270" s="14">
        <f t="shared" si="18"/>
        <v>59823.047318281737</v>
      </c>
      <c r="D270" s="14">
        <f>IF(B270&gt;$K$9,"",IF($D$8=Variables!$B$3,PPMT($D$18,B270,$K$9,-$J$10),IF($D$8=Variables!$B$6,PPMT($D$18,B270,$K$9,-$J$10),IF($D$8=Variables!$B$5,PPMT($D$18,B270-12,$K$9-12,-$C$45),IF(AND($D$8=Variables!$B$4,$D$15="si"),0,PPMT($D$18,B270-18,$K$9-18,-$J$10-SUM($L$34:$L$51))))))+IF(AND($D$8=Variables!$B$4,'Sim Reg N° 800'!$D$15="SI"),PPMT($D$18,B270-24,$K$9-24,-$J$10-SUM($M$34:$M$57))))</f>
        <v>382.25249748194295</v>
      </c>
      <c r="E270" s="14">
        <f>IF(B270&gt;$K$9,"",IF($D$8=Variables!$B$3,IPMT($D$18,B270,$K$9,-$J$10),IF($D$8=Variables!$B$6,IPMT($D$18,B270,$K$9,-$J$10),IF($D$8=Variables!$B$5,IPMT($D$18,B270-12,$K$9-12,-$C$45),IF(AND($D$8=Variables!$B$4,$D$15="si"),0,IPMT($D$18,B270-18,$K$9-18,-$J$10-SUM($L$34:$L$51))))))+IF(AND($D$8=Variables!$B$4,'Sim Reg N° 800'!$D$15="SI"),IPMT($D$18,B270-24,$K$9-24,-$J$10-SUM($M$34:$M$57))))</f>
        <v>225.76987430911387</v>
      </c>
      <c r="F270" s="14">
        <f>IF(B270&gt;$K$9,"",IF(AND($D$8=Variables!$B$3,$D$12="SI",$D$19="NO",$D$13="SI",B270&gt;=7),(PMT(0.06/12,$K$9,-$C$33)-PMT(0.045/12,$K$9,-$C$33)),IF(AND($D$8=Variables!$B$5,$D$19="NO",$D$12="SI",$D$13="SI",B270&gt;12),(PMT(0.06/12,$K$9,-$C$45)-PMT(0.045/12,$K$9,-$C$45)),IF(AND($D$8=Variables!$B$4,$D$12="SI",$D$19="NO",$D$13="SI",$D$15="NO",B270&gt;18),(PMT(0.06/12,$K$9,-$C$51)-PMT(0.045/12,$K$9,-$C$51)),IF(AND($D$8=Variables!$B$4,$D$12="SI",$D$19="NO",$D$13="SI",$D$15="SI",B270&gt;24),(PMT(0.06/12,$K$9,-$C$57)-PMT(0.045/12,$K$9,-$C$57)),0)))))</f>
        <v>111.43825839224587</v>
      </c>
      <c r="G270" s="14">
        <f>+IF(B270&gt;$K$9,"",IF($D$8=Variables!$B$6,0.21*IPMT('Sim Reg N° 800'!$D$18,'Sim Reg N° 800'!B270,'Sim Reg N° 800'!$K$9,-'Sim Reg N° 800'!$J$10),0))+F270*0.21</f>
        <v>23.402034262371632</v>
      </c>
      <c r="H270" s="14">
        <f t="shared" si="21"/>
        <v>742.86266444567434</v>
      </c>
      <c r="I270" s="14">
        <f t="shared" si="19"/>
        <v>0</v>
      </c>
      <c r="J270" s="14">
        <f t="shared" si="20"/>
        <v>742.86266444567434</v>
      </c>
      <c r="K270" s="26">
        <f t="shared" si="22"/>
        <v>222.85879933370231</v>
      </c>
      <c r="L270" s="21"/>
      <c r="M270" s="19"/>
      <c r="R270" s="20"/>
    </row>
    <row r="271" spans="1:18" hidden="1" x14ac:dyDescent="0.2">
      <c r="A271" s="7"/>
      <c r="B271" s="42">
        <v>238</v>
      </c>
      <c r="C271" s="14">
        <f t="shared" si="18"/>
        <v>59439.36137393424</v>
      </c>
      <c r="D271" s="14">
        <f>IF(B271&gt;$K$9,"",IF($D$8=Variables!$B$3,PPMT($D$18,B271,$K$9,-$J$10),IF($D$8=Variables!$B$6,PPMT($D$18,B271,$K$9,-$J$10),IF($D$8=Variables!$B$5,PPMT($D$18,B271-12,$K$9-12,-$C$45),IF(AND($D$8=Variables!$B$4,$D$15="si"),0,PPMT($D$18,B271-18,$K$9-18,-$J$10-SUM($L$34:$L$51))))))+IF(AND($D$8=Variables!$B$4,'Sim Reg N° 800'!$D$15="SI"),PPMT($D$18,B271-24,$K$9-24,-$J$10-SUM($M$34:$M$57))))</f>
        <v>383.68594434750025</v>
      </c>
      <c r="E271" s="14">
        <f>IF(B271&gt;$K$9,"",IF($D$8=Variables!$B$3,IPMT($D$18,B271,$K$9,-$J$10),IF($D$8=Variables!$B$6,IPMT($D$18,B271,$K$9,-$J$10),IF($D$8=Variables!$B$5,IPMT($D$18,B271-12,$K$9-12,-$C$45),IF(AND($D$8=Variables!$B$4,$D$15="si"),0,IPMT($D$18,B271-18,$K$9-18,-$J$10-SUM($L$34:$L$51))))))+IF(AND($D$8=Variables!$B$4,'Sim Reg N° 800'!$D$15="SI"),IPMT($D$18,B271-24,$K$9-24,-$J$10-SUM($M$34:$M$57))))</f>
        <v>224.33642744355657</v>
      </c>
      <c r="F271" s="14">
        <f>IF(B271&gt;$K$9,"",IF(AND($D$8=Variables!$B$3,$D$12="SI",$D$19="NO",$D$13="SI",B271&gt;=7),(PMT(0.06/12,$K$9,-$C$33)-PMT(0.045/12,$K$9,-$C$33)),IF(AND($D$8=Variables!$B$5,$D$19="NO",$D$12="SI",$D$13="SI",B271&gt;12),(PMT(0.06/12,$K$9,-$C$45)-PMT(0.045/12,$K$9,-$C$45)),IF(AND($D$8=Variables!$B$4,$D$12="SI",$D$19="NO",$D$13="SI",$D$15="NO",B271&gt;18),(PMT(0.06/12,$K$9,-$C$51)-PMT(0.045/12,$K$9,-$C$51)),IF(AND($D$8=Variables!$B$4,$D$12="SI",$D$19="NO",$D$13="SI",$D$15="SI",B271&gt;24),(PMT(0.06/12,$K$9,-$C$57)-PMT(0.045/12,$K$9,-$C$57)),0)))))</f>
        <v>111.43825839224587</v>
      </c>
      <c r="G271" s="14">
        <f>+IF(B271&gt;$K$9,"",IF($D$8=Variables!$B$6,0.21*IPMT('Sim Reg N° 800'!$D$18,'Sim Reg N° 800'!B271,'Sim Reg N° 800'!$K$9,-'Sim Reg N° 800'!$J$10),0))+F271*0.21</f>
        <v>23.402034262371632</v>
      </c>
      <c r="H271" s="14">
        <f t="shared" si="21"/>
        <v>742.86266444567434</v>
      </c>
      <c r="I271" s="14">
        <f t="shared" si="19"/>
        <v>0</v>
      </c>
      <c r="J271" s="14">
        <f t="shared" si="20"/>
        <v>742.86266444567434</v>
      </c>
      <c r="K271" s="26">
        <f t="shared" si="22"/>
        <v>222.85879933370231</v>
      </c>
      <c r="L271" s="21"/>
      <c r="M271" s="19"/>
      <c r="R271" s="20"/>
    </row>
    <row r="272" spans="1:18" hidden="1" x14ac:dyDescent="0.2">
      <c r="A272" s="7"/>
      <c r="B272" s="42">
        <v>239</v>
      </c>
      <c r="C272" s="14">
        <f t="shared" si="18"/>
        <v>59054.236607295439</v>
      </c>
      <c r="D272" s="14">
        <f>IF(B272&gt;$K$9,"",IF($D$8=Variables!$B$3,PPMT($D$18,B272,$K$9,-$J$10),IF($D$8=Variables!$B$6,PPMT($D$18,B272,$K$9,-$J$10),IF($D$8=Variables!$B$5,PPMT($D$18,B272-12,$K$9-12,-$C$45),IF(AND($D$8=Variables!$B$4,$D$15="si"),0,PPMT($D$18,B272-18,$K$9-18,-$J$10-SUM($L$34:$L$51))))))+IF(AND($D$8=Variables!$B$4,'Sim Reg N° 800'!$D$15="SI"),PPMT($D$18,B272-24,$K$9-24,-$J$10-SUM($M$34:$M$57))))</f>
        <v>385.12476663880341</v>
      </c>
      <c r="E272" s="14">
        <f>IF(B272&gt;$K$9,"",IF($D$8=Variables!$B$3,IPMT($D$18,B272,$K$9,-$J$10),IF($D$8=Variables!$B$6,IPMT($D$18,B272,$K$9,-$J$10),IF($D$8=Variables!$B$5,IPMT($D$18,B272-12,$K$9-12,-$C$45),IF(AND($D$8=Variables!$B$4,$D$15="si"),0,IPMT($D$18,B272-18,$K$9-18,-$J$10-SUM($L$34:$L$51))))))+IF(AND($D$8=Variables!$B$4,'Sim Reg N° 800'!$D$15="SI"),IPMT($D$18,B272-24,$K$9-24,-$J$10-SUM($M$34:$M$57))))</f>
        <v>222.89760515225353</v>
      </c>
      <c r="F272" s="14">
        <f>IF(B272&gt;$K$9,"",IF(AND($D$8=Variables!$B$3,$D$12="SI",$D$19="NO",$D$13="SI",B272&gt;=7),(PMT(0.06/12,$K$9,-$C$33)-PMT(0.045/12,$K$9,-$C$33)),IF(AND($D$8=Variables!$B$5,$D$19="NO",$D$12="SI",$D$13="SI",B272&gt;12),(PMT(0.06/12,$K$9,-$C$45)-PMT(0.045/12,$K$9,-$C$45)),IF(AND($D$8=Variables!$B$4,$D$12="SI",$D$19="NO",$D$13="SI",$D$15="NO",B272&gt;18),(PMT(0.06/12,$K$9,-$C$51)-PMT(0.045/12,$K$9,-$C$51)),IF(AND($D$8=Variables!$B$4,$D$12="SI",$D$19="NO",$D$13="SI",$D$15="SI",B272&gt;24),(PMT(0.06/12,$K$9,-$C$57)-PMT(0.045/12,$K$9,-$C$57)),0)))))</f>
        <v>111.43825839224587</v>
      </c>
      <c r="G272" s="14">
        <f>+IF(B272&gt;$K$9,"",IF($D$8=Variables!$B$6,0.21*IPMT('Sim Reg N° 800'!$D$18,'Sim Reg N° 800'!B272,'Sim Reg N° 800'!$K$9,-'Sim Reg N° 800'!$J$10),0))+F272*0.21</f>
        <v>23.402034262371632</v>
      </c>
      <c r="H272" s="14">
        <f t="shared" si="21"/>
        <v>742.86266444567445</v>
      </c>
      <c r="I272" s="14">
        <f t="shared" si="19"/>
        <v>0</v>
      </c>
      <c r="J272" s="14">
        <f t="shared" si="20"/>
        <v>742.86266444567445</v>
      </c>
      <c r="K272" s="26">
        <f t="shared" si="22"/>
        <v>222.85879933370234</v>
      </c>
      <c r="L272" s="21"/>
      <c r="M272" s="19"/>
      <c r="R272" s="20"/>
    </row>
    <row r="273" spans="1:18" hidden="1" x14ac:dyDescent="0.2">
      <c r="A273" s="7"/>
      <c r="B273" s="42">
        <v>240</v>
      </c>
      <c r="C273" s="14">
        <f t="shared" si="18"/>
        <v>58667.667622781737</v>
      </c>
      <c r="D273" s="14">
        <f>IF(B273&gt;$K$9,"",IF($D$8=Variables!$B$3,PPMT($D$18,B273,$K$9,-$J$10),IF($D$8=Variables!$B$6,PPMT($D$18,B273,$K$9,-$J$10),IF($D$8=Variables!$B$5,PPMT($D$18,B273-12,$K$9-12,-$C$45),IF(AND($D$8=Variables!$B$4,$D$15="si"),0,PPMT($D$18,B273-18,$K$9-18,-$J$10-SUM($L$34:$L$51))))))+IF(AND($D$8=Variables!$B$4,'Sim Reg N° 800'!$D$15="SI"),PPMT($D$18,B273-24,$K$9-24,-$J$10-SUM($M$34:$M$57))))</f>
        <v>386.56898451369892</v>
      </c>
      <c r="E273" s="14">
        <f>IF(B273&gt;$K$9,"",IF($D$8=Variables!$B$3,IPMT($D$18,B273,$K$9,-$J$10),IF($D$8=Variables!$B$6,IPMT($D$18,B273,$K$9,-$J$10),IF($D$8=Variables!$B$5,IPMT($D$18,B273-12,$K$9-12,-$C$45),IF(AND($D$8=Variables!$B$4,$D$15="si"),0,IPMT($D$18,B273-18,$K$9-18,-$J$10-SUM($L$34:$L$51))))))+IF(AND($D$8=Variables!$B$4,'Sim Reg N° 800'!$D$15="SI"),IPMT($D$18,B273-24,$K$9-24,-$J$10-SUM($M$34:$M$57))))</f>
        <v>221.45338727735796</v>
      </c>
      <c r="F273" s="14">
        <f>IF(B273&gt;$K$9,"",IF(AND($D$8=Variables!$B$3,$D$12="SI",$D$19="NO",$D$13="SI",B273&gt;=7),(PMT(0.06/12,$K$9,-$C$33)-PMT(0.045/12,$K$9,-$C$33)),IF(AND($D$8=Variables!$B$5,$D$19="NO",$D$12="SI",$D$13="SI",B273&gt;12),(PMT(0.06/12,$K$9,-$C$45)-PMT(0.045/12,$K$9,-$C$45)),IF(AND($D$8=Variables!$B$4,$D$12="SI",$D$19="NO",$D$13="SI",$D$15="NO",B273&gt;18),(PMT(0.06/12,$K$9,-$C$51)-PMT(0.045/12,$K$9,-$C$51)),IF(AND($D$8=Variables!$B$4,$D$12="SI",$D$19="NO",$D$13="SI",$D$15="SI",B273&gt;24),(PMT(0.06/12,$K$9,-$C$57)-PMT(0.045/12,$K$9,-$C$57)),0)))))</f>
        <v>111.43825839224587</v>
      </c>
      <c r="G273" s="14">
        <f>+IF(B273&gt;$K$9,"",IF($D$8=Variables!$B$6,0.21*IPMT('Sim Reg N° 800'!$D$18,'Sim Reg N° 800'!B273,'Sim Reg N° 800'!$K$9,-'Sim Reg N° 800'!$J$10),0))+F273*0.21</f>
        <v>23.402034262371632</v>
      </c>
      <c r="H273" s="14">
        <f t="shared" si="21"/>
        <v>742.86266444567445</v>
      </c>
      <c r="I273" s="14">
        <f t="shared" si="19"/>
        <v>0</v>
      </c>
      <c r="J273" s="14">
        <f t="shared" si="20"/>
        <v>742.86266444567445</v>
      </c>
      <c r="K273" s="26">
        <f t="shared" si="22"/>
        <v>222.85879933370234</v>
      </c>
      <c r="L273" s="21"/>
      <c r="M273" s="19"/>
      <c r="R273" s="20"/>
    </row>
    <row r="274" spans="1:18" hidden="1" x14ac:dyDescent="0.2">
      <c r="A274" s="7"/>
      <c r="B274" s="42">
        <v>241</v>
      </c>
      <c r="C274" s="14">
        <f t="shared" si="18"/>
        <v>58279.649004576109</v>
      </c>
      <c r="D274" s="14">
        <f>IF(B274&gt;$K$9,"",IF($D$8=Variables!$B$3,PPMT($D$18,B274,$K$9,-$J$10),IF($D$8=Variables!$B$6,PPMT($D$18,B274,$K$9,-$J$10),IF($D$8=Variables!$B$5,PPMT($D$18,B274-12,$K$9-12,-$C$45),IF(AND($D$8=Variables!$B$4,$D$15="si"),0,PPMT($D$18,B274-18,$K$9-18,-$J$10-SUM($L$34:$L$51))))))+IF(AND($D$8=Variables!$B$4,'Sim Reg N° 800'!$D$15="SI"),PPMT($D$18,B274-24,$K$9-24,-$J$10-SUM($M$34:$M$57))))</f>
        <v>388.01861820562522</v>
      </c>
      <c r="E274" s="14">
        <f>IF(B274&gt;$K$9,"",IF($D$8=Variables!$B$3,IPMT($D$18,B274,$K$9,-$J$10),IF($D$8=Variables!$B$6,IPMT($D$18,B274,$K$9,-$J$10),IF($D$8=Variables!$B$5,IPMT($D$18,B274-12,$K$9-12,-$C$45),IF(AND($D$8=Variables!$B$4,$D$15="si"),0,IPMT($D$18,B274-18,$K$9-18,-$J$10-SUM($L$34:$L$51))))))+IF(AND($D$8=Variables!$B$4,'Sim Reg N° 800'!$D$15="SI"),IPMT($D$18,B274-24,$K$9-24,-$J$10-SUM($M$34:$M$57))))</f>
        <v>220.00375358543161</v>
      </c>
      <c r="F274" s="14">
        <f>IF(B274&gt;$K$9,"",IF(AND($D$8=Variables!$B$3,$D$12="SI",$D$19="NO",$D$13="SI",B274&gt;=7),(PMT(0.06/12,$K$9,-$C$33)-PMT(0.045/12,$K$9,-$C$33)),IF(AND($D$8=Variables!$B$5,$D$19="NO",$D$12="SI",$D$13="SI",B274&gt;12),(PMT(0.06/12,$K$9,-$C$45)-PMT(0.045/12,$K$9,-$C$45)),IF(AND($D$8=Variables!$B$4,$D$12="SI",$D$19="NO",$D$13="SI",$D$15="NO",B274&gt;18),(PMT(0.06/12,$K$9,-$C$51)-PMT(0.045/12,$K$9,-$C$51)),IF(AND($D$8=Variables!$B$4,$D$12="SI",$D$19="NO",$D$13="SI",$D$15="SI",B274&gt;24),(PMT(0.06/12,$K$9,-$C$57)-PMT(0.045/12,$K$9,-$C$57)),0)))))</f>
        <v>111.43825839224587</v>
      </c>
      <c r="G274" s="14">
        <f>+IF(B274&gt;$K$9,"",IF($D$8=Variables!$B$6,0.21*IPMT('Sim Reg N° 800'!$D$18,'Sim Reg N° 800'!B274,'Sim Reg N° 800'!$K$9,-'Sim Reg N° 800'!$J$10),0))+F274*0.21</f>
        <v>23.402034262371632</v>
      </c>
      <c r="H274" s="14">
        <f t="shared" si="21"/>
        <v>742.86266444567434</v>
      </c>
      <c r="I274" s="14">
        <f t="shared" si="19"/>
        <v>95.999999999999986</v>
      </c>
      <c r="J274" s="14">
        <f t="shared" si="20"/>
        <v>838.86266444567434</v>
      </c>
      <c r="K274" s="26">
        <f t="shared" si="22"/>
        <v>251.65879933370229</v>
      </c>
      <c r="L274" s="21"/>
      <c r="M274" s="19"/>
      <c r="R274" s="20"/>
    </row>
    <row r="275" spans="1:18" hidden="1" x14ac:dyDescent="0.2">
      <c r="A275" s="7"/>
      <c r="B275" s="42">
        <v>242</v>
      </c>
      <c r="C275" s="14">
        <f t="shared" si="18"/>
        <v>57890.17531655221</v>
      </c>
      <c r="D275" s="14">
        <f>IF(B275&gt;$K$9,"",IF($D$8=Variables!$B$3,PPMT($D$18,B275,$K$9,-$J$10),IF($D$8=Variables!$B$6,PPMT($D$18,B275,$K$9,-$J$10),IF($D$8=Variables!$B$5,PPMT($D$18,B275-12,$K$9-12,-$C$45),IF(AND($D$8=Variables!$B$4,$D$15="si"),0,PPMT($D$18,B275-18,$K$9-18,-$J$10-SUM($L$34:$L$51))))))+IF(AND($D$8=Variables!$B$4,'Sim Reg N° 800'!$D$15="SI"),PPMT($D$18,B275-24,$K$9-24,-$J$10-SUM($M$34:$M$57))))</f>
        <v>389.47368802389639</v>
      </c>
      <c r="E275" s="14">
        <f>IF(B275&gt;$K$9,"",IF($D$8=Variables!$B$3,IPMT($D$18,B275,$K$9,-$J$10),IF($D$8=Variables!$B$6,IPMT($D$18,B275,$K$9,-$J$10),IF($D$8=Variables!$B$5,IPMT($D$18,B275-12,$K$9-12,-$C$45),IF(AND($D$8=Variables!$B$4,$D$15="si"),0,IPMT($D$18,B275-18,$K$9-18,-$J$10-SUM($L$34:$L$51))))))+IF(AND($D$8=Variables!$B$4,'Sim Reg N° 800'!$D$15="SI"),IPMT($D$18,B275-24,$K$9-24,-$J$10-SUM($M$34:$M$57))))</f>
        <v>218.5486837671605</v>
      </c>
      <c r="F275" s="14">
        <f>IF(B275&gt;$K$9,"",IF(AND($D$8=Variables!$B$3,$D$12="SI",$D$19="NO",$D$13="SI",B275&gt;=7),(PMT(0.06/12,$K$9,-$C$33)-PMT(0.045/12,$K$9,-$C$33)),IF(AND($D$8=Variables!$B$5,$D$19="NO",$D$12="SI",$D$13="SI",B275&gt;12),(PMT(0.06/12,$K$9,-$C$45)-PMT(0.045/12,$K$9,-$C$45)),IF(AND($D$8=Variables!$B$4,$D$12="SI",$D$19="NO",$D$13="SI",$D$15="NO",B275&gt;18),(PMT(0.06/12,$K$9,-$C$51)-PMT(0.045/12,$K$9,-$C$51)),IF(AND($D$8=Variables!$B$4,$D$12="SI",$D$19="NO",$D$13="SI",$D$15="SI",B275&gt;24),(PMT(0.06/12,$K$9,-$C$57)-PMT(0.045/12,$K$9,-$C$57)),0)))))</f>
        <v>111.43825839224587</v>
      </c>
      <c r="G275" s="14">
        <f>+IF(B275&gt;$K$9,"",IF($D$8=Variables!$B$6,0.21*IPMT('Sim Reg N° 800'!$D$18,'Sim Reg N° 800'!B275,'Sim Reg N° 800'!$K$9,-'Sim Reg N° 800'!$J$10),0))+F275*0.21</f>
        <v>23.402034262371632</v>
      </c>
      <c r="H275" s="14">
        <f t="shared" si="21"/>
        <v>742.86266444567445</v>
      </c>
      <c r="I275" s="14">
        <f t="shared" si="19"/>
        <v>0</v>
      </c>
      <c r="J275" s="14">
        <f t="shared" si="20"/>
        <v>742.86266444567445</v>
      </c>
      <c r="K275" s="26">
        <f t="shared" si="22"/>
        <v>222.85879933370234</v>
      </c>
      <c r="L275" s="21"/>
      <c r="M275" s="19"/>
      <c r="R275" s="20"/>
    </row>
    <row r="276" spans="1:18" hidden="1" x14ac:dyDescent="0.2">
      <c r="A276" s="7"/>
      <c r="B276" s="42">
        <v>243</v>
      </c>
      <c r="C276" s="14">
        <f t="shared" si="18"/>
        <v>57499.241102198226</v>
      </c>
      <c r="D276" s="14">
        <f>IF(B276&gt;$K$9,"",IF($D$8=Variables!$B$3,PPMT($D$18,B276,$K$9,-$J$10),IF($D$8=Variables!$B$6,PPMT($D$18,B276,$K$9,-$J$10),IF($D$8=Variables!$B$5,PPMT($D$18,B276-12,$K$9-12,-$C$45),IF(AND($D$8=Variables!$B$4,$D$15="si"),0,PPMT($D$18,B276-18,$K$9-18,-$J$10-SUM($L$34:$L$51))))))+IF(AND($D$8=Variables!$B$4,'Sim Reg N° 800'!$D$15="SI"),PPMT($D$18,B276-24,$K$9-24,-$J$10-SUM($M$34:$M$57))))</f>
        <v>390.93421435398596</v>
      </c>
      <c r="E276" s="14">
        <f>IF(B276&gt;$K$9,"",IF($D$8=Variables!$B$3,IPMT($D$18,B276,$K$9,-$J$10),IF($D$8=Variables!$B$6,IPMT($D$18,B276,$K$9,-$J$10),IF($D$8=Variables!$B$5,IPMT($D$18,B276-12,$K$9-12,-$C$45),IF(AND($D$8=Variables!$B$4,$D$15="si"),0,IPMT($D$18,B276-18,$K$9-18,-$J$10-SUM($L$34:$L$51))))))+IF(AND($D$8=Variables!$B$4,'Sim Reg N° 800'!$D$15="SI"),IPMT($D$18,B276-24,$K$9-24,-$J$10-SUM($M$34:$M$57))))</f>
        <v>217.08815743707089</v>
      </c>
      <c r="F276" s="14">
        <f>IF(B276&gt;$K$9,"",IF(AND($D$8=Variables!$B$3,$D$12="SI",$D$19="NO",$D$13="SI",B276&gt;=7),(PMT(0.06/12,$K$9,-$C$33)-PMT(0.045/12,$K$9,-$C$33)),IF(AND($D$8=Variables!$B$5,$D$19="NO",$D$12="SI",$D$13="SI",B276&gt;12),(PMT(0.06/12,$K$9,-$C$45)-PMT(0.045/12,$K$9,-$C$45)),IF(AND($D$8=Variables!$B$4,$D$12="SI",$D$19="NO",$D$13="SI",$D$15="NO",B276&gt;18),(PMT(0.06/12,$K$9,-$C$51)-PMT(0.045/12,$K$9,-$C$51)),IF(AND($D$8=Variables!$B$4,$D$12="SI",$D$19="NO",$D$13="SI",$D$15="SI",B276&gt;24),(PMT(0.06/12,$K$9,-$C$57)-PMT(0.045/12,$K$9,-$C$57)),0)))))</f>
        <v>111.43825839224587</v>
      </c>
      <c r="G276" s="14">
        <f>+IF(B276&gt;$K$9,"",IF($D$8=Variables!$B$6,0.21*IPMT('Sim Reg N° 800'!$D$18,'Sim Reg N° 800'!B276,'Sim Reg N° 800'!$K$9,-'Sim Reg N° 800'!$J$10),0))+F276*0.21</f>
        <v>23.402034262371632</v>
      </c>
      <c r="H276" s="14">
        <f t="shared" si="21"/>
        <v>742.86266444567434</v>
      </c>
      <c r="I276" s="14">
        <f t="shared" si="19"/>
        <v>0</v>
      </c>
      <c r="J276" s="14">
        <f t="shared" si="20"/>
        <v>742.86266444567434</v>
      </c>
      <c r="K276" s="26">
        <f t="shared" si="22"/>
        <v>222.85879933370231</v>
      </c>
      <c r="L276" s="21"/>
      <c r="M276" s="19"/>
      <c r="R276" s="20"/>
    </row>
    <row r="277" spans="1:18" hidden="1" x14ac:dyDescent="0.2">
      <c r="A277" s="7"/>
      <c r="B277" s="42">
        <v>244</v>
      </c>
      <c r="C277" s="14">
        <f t="shared" si="18"/>
        <v>57106.840884540412</v>
      </c>
      <c r="D277" s="14">
        <f>IF(B277&gt;$K$9,"",IF($D$8=Variables!$B$3,PPMT($D$18,B277,$K$9,-$J$10),IF($D$8=Variables!$B$6,PPMT($D$18,B277,$K$9,-$J$10),IF($D$8=Variables!$B$5,PPMT($D$18,B277-12,$K$9-12,-$C$45),IF(AND($D$8=Variables!$B$4,$D$15="si"),0,PPMT($D$18,B277-18,$K$9-18,-$J$10-SUM($L$34:$L$51))))))+IF(AND($D$8=Variables!$B$4,'Sim Reg N° 800'!$D$15="SI"),PPMT($D$18,B277-24,$K$9-24,-$J$10-SUM($M$34:$M$57))))</f>
        <v>392.40021765781341</v>
      </c>
      <c r="E277" s="14">
        <f>IF(B277&gt;$K$9,"",IF($D$8=Variables!$B$3,IPMT($D$18,B277,$K$9,-$J$10),IF($D$8=Variables!$B$6,IPMT($D$18,B277,$K$9,-$J$10),IF($D$8=Variables!$B$5,IPMT($D$18,B277-12,$K$9-12,-$C$45),IF(AND($D$8=Variables!$B$4,$D$15="si"),0,IPMT($D$18,B277-18,$K$9-18,-$J$10-SUM($L$34:$L$51))))))+IF(AND($D$8=Variables!$B$4,'Sim Reg N° 800'!$D$15="SI"),IPMT($D$18,B277-24,$K$9-24,-$J$10-SUM($M$34:$M$57))))</f>
        <v>215.62215413324344</v>
      </c>
      <c r="F277" s="14">
        <f>IF(B277&gt;$K$9,"",IF(AND($D$8=Variables!$B$3,$D$12="SI",$D$19="NO",$D$13="SI",B277&gt;=7),(PMT(0.06/12,$K$9,-$C$33)-PMT(0.045/12,$K$9,-$C$33)),IF(AND($D$8=Variables!$B$5,$D$19="NO",$D$12="SI",$D$13="SI",B277&gt;12),(PMT(0.06/12,$K$9,-$C$45)-PMT(0.045/12,$K$9,-$C$45)),IF(AND($D$8=Variables!$B$4,$D$12="SI",$D$19="NO",$D$13="SI",$D$15="NO",B277&gt;18),(PMT(0.06/12,$K$9,-$C$51)-PMT(0.045/12,$K$9,-$C$51)),IF(AND($D$8=Variables!$B$4,$D$12="SI",$D$19="NO",$D$13="SI",$D$15="SI",B277&gt;24),(PMT(0.06/12,$K$9,-$C$57)-PMT(0.045/12,$K$9,-$C$57)),0)))))</f>
        <v>111.43825839224587</v>
      </c>
      <c r="G277" s="14">
        <f>+IF(B277&gt;$K$9,"",IF($D$8=Variables!$B$6,0.21*IPMT('Sim Reg N° 800'!$D$18,'Sim Reg N° 800'!B277,'Sim Reg N° 800'!$K$9,-'Sim Reg N° 800'!$J$10),0))+F277*0.21</f>
        <v>23.402034262371632</v>
      </c>
      <c r="H277" s="14">
        <f t="shared" si="21"/>
        <v>742.86266444567434</v>
      </c>
      <c r="I277" s="14">
        <f t="shared" si="19"/>
        <v>0</v>
      </c>
      <c r="J277" s="14">
        <f t="shared" si="20"/>
        <v>742.86266444567434</v>
      </c>
      <c r="K277" s="26">
        <f t="shared" si="22"/>
        <v>222.85879933370231</v>
      </c>
      <c r="L277" s="21"/>
      <c r="M277" s="19"/>
      <c r="R277" s="20"/>
    </row>
    <row r="278" spans="1:18" hidden="1" x14ac:dyDescent="0.2">
      <c r="A278" s="7"/>
      <c r="B278" s="42">
        <v>245</v>
      </c>
      <c r="C278" s="14">
        <f t="shared" si="18"/>
        <v>56712.969166066381</v>
      </c>
      <c r="D278" s="14">
        <f>IF(B278&gt;$K$9,"",IF($D$8=Variables!$B$3,PPMT($D$18,B278,$K$9,-$J$10),IF($D$8=Variables!$B$6,PPMT($D$18,B278,$K$9,-$J$10),IF($D$8=Variables!$B$5,PPMT($D$18,B278-12,$K$9-12,-$C$45),IF(AND($D$8=Variables!$B$4,$D$15="si"),0,PPMT($D$18,B278-18,$K$9-18,-$J$10-SUM($L$34:$L$51))))))+IF(AND($D$8=Variables!$B$4,'Sim Reg N° 800'!$D$15="SI"),PPMT($D$18,B278-24,$K$9-24,-$J$10-SUM($M$34:$M$57))))</f>
        <v>393.87171847403022</v>
      </c>
      <c r="E278" s="14">
        <f>IF(B278&gt;$K$9,"",IF($D$8=Variables!$B$3,IPMT($D$18,B278,$K$9,-$J$10),IF($D$8=Variables!$B$6,IPMT($D$18,B278,$K$9,-$J$10),IF($D$8=Variables!$B$5,IPMT($D$18,B278-12,$K$9-12,-$C$45),IF(AND($D$8=Variables!$B$4,$D$15="si"),0,IPMT($D$18,B278-18,$K$9-18,-$J$10-SUM($L$34:$L$51))))))+IF(AND($D$8=Variables!$B$4,'Sim Reg N° 800'!$D$15="SI"),IPMT($D$18,B278-24,$K$9-24,-$J$10-SUM($M$34:$M$57))))</f>
        <v>214.15065331702661</v>
      </c>
      <c r="F278" s="14">
        <f>IF(B278&gt;$K$9,"",IF(AND($D$8=Variables!$B$3,$D$12="SI",$D$19="NO",$D$13="SI",B278&gt;=7),(PMT(0.06/12,$K$9,-$C$33)-PMT(0.045/12,$K$9,-$C$33)),IF(AND($D$8=Variables!$B$5,$D$19="NO",$D$12="SI",$D$13="SI",B278&gt;12),(PMT(0.06/12,$K$9,-$C$45)-PMT(0.045/12,$K$9,-$C$45)),IF(AND($D$8=Variables!$B$4,$D$12="SI",$D$19="NO",$D$13="SI",$D$15="NO",B278&gt;18),(PMT(0.06/12,$K$9,-$C$51)-PMT(0.045/12,$K$9,-$C$51)),IF(AND($D$8=Variables!$B$4,$D$12="SI",$D$19="NO",$D$13="SI",$D$15="SI",B278&gt;24),(PMT(0.06/12,$K$9,-$C$57)-PMT(0.045/12,$K$9,-$C$57)),0)))))</f>
        <v>111.43825839224587</v>
      </c>
      <c r="G278" s="14">
        <f>+IF(B278&gt;$K$9,"",IF($D$8=Variables!$B$6,0.21*IPMT('Sim Reg N° 800'!$D$18,'Sim Reg N° 800'!B278,'Sim Reg N° 800'!$K$9,-'Sim Reg N° 800'!$J$10),0))+F278*0.21</f>
        <v>23.402034262371632</v>
      </c>
      <c r="H278" s="14">
        <f t="shared" si="21"/>
        <v>742.86266444567434</v>
      </c>
      <c r="I278" s="14">
        <f t="shared" si="19"/>
        <v>0</v>
      </c>
      <c r="J278" s="14">
        <f t="shared" si="20"/>
        <v>742.86266444567434</v>
      </c>
      <c r="K278" s="26">
        <f t="shared" si="22"/>
        <v>222.85879933370231</v>
      </c>
      <c r="L278" s="21"/>
      <c r="M278" s="19"/>
      <c r="R278" s="20"/>
    </row>
    <row r="279" spans="1:18" hidden="1" x14ac:dyDescent="0.2">
      <c r="A279" s="7"/>
      <c r="B279" s="42">
        <v>246</v>
      </c>
      <c r="C279" s="14">
        <f t="shared" si="18"/>
        <v>56317.620428648072</v>
      </c>
      <c r="D279" s="14">
        <f>IF(B279&gt;$K$9,"",IF($D$8=Variables!$B$3,PPMT($D$18,B279,$K$9,-$J$10),IF($D$8=Variables!$B$6,PPMT($D$18,B279,$K$9,-$J$10),IF($D$8=Variables!$B$5,PPMT($D$18,B279-12,$K$9-12,-$C$45),IF(AND($D$8=Variables!$B$4,$D$15="si"),0,PPMT($D$18,B279-18,$K$9-18,-$J$10-SUM($L$34:$L$51))))))+IF(AND($D$8=Variables!$B$4,'Sim Reg N° 800'!$D$15="SI"),PPMT($D$18,B279-24,$K$9-24,-$J$10-SUM($M$34:$M$57))))</f>
        <v>395.34873741830779</v>
      </c>
      <c r="E279" s="14">
        <f>IF(B279&gt;$K$9,"",IF($D$8=Variables!$B$3,IPMT($D$18,B279,$K$9,-$J$10),IF($D$8=Variables!$B$6,IPMT($D$18,B279,$K$9,-$J$10),IF($D$8=Variables!$B$5,IPMT($D$18,B279-12,$K$9-12,-$C$45),IF(AND($D$8=Variables!$B$4,$D$15="si"),0,IPMT($D$18,B279-18,$K$9-18,-$J$10-SUM($L$34:$L$51))))))+IF(AND($D$8=Variables!$B$4,'Sim Reg N° 800'!$D$15="SI"),IPMT($D$18,B279-24,$K$9-24,-$J$10-SUM($M$34:$M$57))))</f>
        <v>212.67363437274906</v>
      </c>
      <c r="F279" s="14">
        <f>IF(B279&gt;$K$9,"",IF(AND($D$8=Variables!$B$3,$D$12="SI",$D$19="NO",$D$13="SI",B279&gt;=7),(PMT(0.06/12,$K$9,-$C$33)-PMT(0.045/12,$K$9,-$C$33)),IF(AND($D$8=Variables!$B$5,$D$19="NO",$D$12="SI",$D$13="SI",B279&gt;12),(PMT(0.06/12,$K$9,-$C$45)-PMT(0.045/12,$K$9,-$C$45)),IF(AND($D$8=Variables!$B$4,$D$12="SI",$D$19="NO",$D$13="SI",$D$15="NO",B279&gt;18),(PMT(0.06/12,$K$9,-$C$51)-PMT(0.045/12,$K$9,-$C$51)),IF(AND($D$8=Variables!$B$4,$D$12="SI",$D$19="NO",$D$13="SI",$D$15="SI",B279&gt;24),(PMT(0.06/12,$K$9,-$C$57)-PMT(0.045/12,$K$9,-$C$57)),0)))))</f>
        <v>111.43825839224587</v>
      </c>
      <c r="G279" s="14">
        <f>+IF(B279&gt;$K$9,"",IF($D$8=Variables!$B$6,0.21*IPMT('Sim Reg N° 800'!$D$18,'Sim Reg N° 800'!B279,'Sim Reg N° 800'!$K$9,-'Sim Reg N° 800'!$J$10),0))+F279*0.21</f>
        <v>23.402034262371632</v>
      </c>
      <c r="H279" s="14">
        <f t="shared" si="21"/>
        <v>742.86266444567434</v>
      </c>
      <c r="I279" s="14">
        <f t="shared" si="19"/>
        <v>0</v>
      </c>
      <c r="J279" s="14">
        <f t="shared" si="20"/>
        <v>742.86266444567434</v>
      </c>
      <c r="K279" s="26">
        <f t="shared" si="22"/>
        <v>222.85879933370231</v>
      </c>
      <c r="L279" s="21"/>
      <c r="M279" s="19"/>
      <c r="R279" s="20"/>
    </row>
    <row r="280" spans="1:18" hidden="1" x14ac:dyDescent="0.2">
      <c r="A280" s="7"/>
      <c r="B280" s="42">
        <v>247</v>
      </c>
      <c r="C280" s="14">
        <f t="shared" si="18"/>
        <v>55920.789133464445</v>
      </c>
      <c r="D280" s="14">
        <f>IF(B280&gt;$K$9,"",IF($D$8=Variables!$B$3,PPMT($D$18,B280,$K$9,-$J$10),IF($D$8=Variables!$B$6,PPMT($D$18,B280,$K$9,-$J$10),IF($D$8=Variables!$B$5,PPMT($D$18,B280-12,$K$9-12,-$C$45),IF(AND($D$8=Variables!$B$4,$D$15="si"),0,PPMT($D$18,B280-18,$K$9-18,-$J$10-SUM($L$34:$L$51))))))+IF(AND($D$8=Variables!$B$4,'Sim Reg N° 800'!$D$15="SI"),PPMT($D$18,B280-24,$K$9-24,-$J$10-SUM($M$34:$M$57))))</f>
        <v>396.83129518362648</v>
      </c>
      <c r="E280" s="14">
        <f>IF(B280&gt;$K$9,"",IF($D$8=Variables!$B$3,IPMT($D$18,B280,$K$9,-$J$10),IF($D$8=Variables!$B$6,IPMT($D$18,B280,$K$9,-$J$10),IF($D$8=Variables!$B$5,IPMT($D$18,B280-12,$K$9-12,-$C$45),IF(AND($D$8=Variables!$B$4,$D$15="si"),0,IPMT($D$18,B280-18,$K$9-18,-$J$10-SUM($L$34:$L$51))))))+IF(AND($D$8=Variables!$B$4,'Sim Reg N° 800'!$D$15="SI"),IPMT($D$18,B280-24,$K$9-24,-$J$10-SUM($M$34:$M$57))))</f>
        <v>211.1910766074304</v>
      </c>
      <c r="F280" s="14">
        <f>IF(B280&gt;$K$9,"",IF(AND($D$8=Variables!$B$3,$D$12="SI",$D$19="NO",$D$13="SI",B280&gt;=7),(PMT(0.06/12,$K$9,-$C$33)-PMT(0.045/12,$K$9,-$C$33)),IF(AND($D$8=Variables!$B$5,$D$19="NO",$D$12="SI",$D$13="SI",B280&gt;12),(PMT(0.06/12,$K$9,-$C$45)-PMT(0.045/12,$K$9,-$C$45)),IF(AND($D$8=Variables!$B$4,$D$12="SI",$D$19="NO",$D$13="SI",$D$15="NO",B280&gt;18),(PMT(0.06/12,$K$9,-$C$51)-PMT(0.045/12,$K$9,-$C$51)),IF(AND($D$8=Variables!$B$4,$D$12="SI",$D$19="NO",$D$13="SI",$D$15="SI",B280&gt;24),(PMT(0.06/12,$K$9,-$C$57)-PMT(0.045/12,$K$9,-$C$57)),0)))))</f>
        <v>111.43825839224587</v>
      </c>
      <c r="G280" s="14">
        <f>+IF(B280&gt;$K$9,"",IF($D$8=Variables!$B$6,0.21*IPMT('Sim Reg N° 800'!$D$18,'Sim Reg N° 800'!B280,'Sim Reg N° 800'!$K$9,-'Sim Reg N° 800'!$J$10),0))+F280*0.21</f>
        <v>23.402034262371632</v>
      </c>
      <c r="H280" s="14">
        <f t="shared" si="21"/>
        <v>742.86266444567445</v>
      </c>
      <c r="I280" s="14">
        <f t="shared" si="19"/>
        <v>0</v>
      </c>
      <c r="J280" s="14">
        <f t="shared" si="20"/>
        <v>742.86266444567445</v>
      </c>
      <c r="K280" s="26">
        <f t="shared" si="22"/>
        <v>222.85879933370234</v>
      </c>
      <c r="L280" s="21"/>
      <c r="M280" s="19"/>
      <c r="R280" s="20"/>
    </row>
    <row r="281" spans="1:18" hidden="1" x14ac:dyDescent="0.2">
      <c r="A281" s="7"/>
      <c r="B281" s="42">
        <v>248</v>
      </c>
      <c r="C281" s="14">
        <f t="shared" si="18"/>
        <v>55522.46972092388</v>
      </c>
      <c r="D281" s="14">
        <f>IF(B281&gt;$K$9,"",IF($D$8=Variables!$B$3,PPMT($D$18,B281,$K$9,-$J$10),IF($D$8=Variables!$B$6,PPMT($D$18,B281,$K$9,-$J$10),IF($D$8=Variables!$B$5,PPMT($D$18,B281-12,$K$9-12,-$C$45),IF(AND($D$8=Variables!$B$4,$D$15="si"),0,PPMT($D$18,B281-18,$K$9-18,-$J$10-SUM($L$34:$L$51))))))+IF(AND($D$8=Variables!$B$4,'Sim Reg N° 800'!$D$15="SI"),PPMT($D$18,B281-24,$K$9-24,-$J$10-SUM($M$34:$M$57))))</f>
        <v>398.31941254056511</v>
      </c>
      <c r="E281" s="14">
        <f>IF(B281&gt;$K$9,"",IF($D$8=Variables!$B$3,IPMT($D$18,B281,$K$9,-$J$10),IF($D$8=Variables!$B$6,IPMT($D$18,B281,$K$9,-$J$10),IF($D$8=Variables!$B$5,IPMT($D$18,B281-12,$K$9-12,-$C$45),IF(AND($D$8=Variables!$B$4,$D$15="si"),0,IPMT($D$18,B281-18,$K$9-18,-$J$10-SUM($L$34:$L$51))))))+IF(AND($D$8=Variables!$B$4,'Sim Reg N° 800'!$D$15="SI"),IPMT($D$18,B281-24,$K$9-24,-$J$10-SUM($M$34:$M$57))))</f>
        <v>209.70295925049183</v>
      </c>
      <c r="F281" s="14">
        <f>IF(B281&gt;$K$9,"",IF(AND($D$8=Variables!$B$3,$D$12="SI",$D$19="NO",$D$13="SI",B281&gt;=7),(PMT(0.06/12,$K$9,-$C$33)-PMT(0.045/12,$K$9,-$C$33)),IF(AND($D$8=Variables!$B$5,$D$19="NO",$D$12="SI",$D$13="SI",B281&gt;12),(PMT(0.06/12,$K$9,-$C$45)-PMT(0.045/12,$K$9,-$C$45)),IF(AND($D$8=Variables!$B$4,$D$12="SI",$D$19="NO",$D$13="SI",$D$15="NO",B281&gt;18),(PMT(0.06/12,$K$9,-$C$51)-PMT(0.045/12,$K$9,-$C$51)),IF(AND($D$8=Variables!$B$4,$D$12="SI",$D$19="NO",$D$13="SI",$D$15="SI",B281&gt;24),(PMT(0.06/12,$K$9,-$C$57)-PMT(0.045/12,$K$9,-$C$57)),0)))))</f>
        <v>111.43825839224587</v>
      </c>
      <c r="G281" s="14">
        <f>+IF(B281&gt;$K$9,"",IF($D$8=Variables!$B$6,0.21*IPMT('Sim Reg N° 800'!$D$18,'Sim Reg N° 800'!B281,'Sim Reg N° 800'!$K$9,-'Sim Reg N° 800'!$J$10),0))+F281*0.21</f>
        <v>23.402034262371632</v>
      </c>
      <c r="H281" s="14">
        <f t="shared" si="21"/>
        <v>742.86266444567445</v>
      </c>
      <c r="I281" s="14">
        <f t="shared" si="19"/>
        <v>0</v>
      </c>
      <c r="J281" s="14">
        <f t="shared" si="20"/>
        <v>742.86266444567445</v>
      </c>
      <c r="K281" s="26">
        <f t="shared" si="22"/>
        <v>222.85879933370234</v>
      </c>
      <c r="L281" s="21"/>
      <c r="M281" s="19"/>
      <c r="R281" s="20"/>
    </row>
    <row r="282" spans="1:18" hidden="1" x14ac:dyDescent="0.2">
      <c r="A282" s="7"/>
      <c r="B282" s="42">
        <v>249</v>
      </c>
      <c r="C282" s="14">
        <f t="shared" si="18"/>
        <v>55122.656610586288</v>
      </c>
      <c r="D282" s="14">
        <f>IF(B282&gt;$K$9,"",IF($D$8=Variables!$B$3,PPMT($D$18,B282,$K$9,-$J$10),IF($D$8=Variables!$B$6,PPMT($D$18,B282,$K$9,-$J$10),IF($D$8=Variables!$B$5,PPMT($D$18,B282-12,$K$9-12,-$C$45),IF(AND($D$8=Variables!$B$4,$D$15="si"),0,PPMT($D$18,B282-18,$K$9-18,-$J$10-SUM($L$34:$L$51))))))+IF(AND($D$8=Variables!$B$4,'Sim Reg N° 800'!$D$15="SI"),PPMT($D$18,B282-24,$K$9-24,-$J$10-SUM($M$34:$M$57))))</f>
        <v>399.81311033759215</v>
      </c>
      <c r="E282" s="14">
        <f>IF(B282&gt;$K$9,"",IF($D$8=Variables!$B$3,IPMT($D$18,B282,$K$9,-$J$10),IF($D$8=Variables!$B$6,IPMT($D$18,B282,$K$9,-$J$10),IF($D$8=Variables!$B$5,IPMT($D$18,B282-12,$K$9-12,-$C$45),IF(AND($D$8=Variables!$B$4,$D$15="si"),0,IPMT($D$18,B282-18,$K$9-18,-$J$10-SUM($L$34:$L$51))))))+IF(AND($D$8=Variables!$B$4,'Sim Reg N° 800'!$D$15="SI"),IPMT($D$18,B282-24,$K$9-24,-$J$10-SUM($M$34:$M$57))))</f>
        <v>208.20926145346465</v>
      </c>
      <c r="F282" s="14">
        <f>IF(B282&gt;$K$9,"",IF(AND($D$8=Variables!$B$3,$D$12="SI",$D$19="NO",$D$13="SI",B282&gt;=7),(PMT(0.06/12,$K$9,-$C$33)-PMT(0.045/12,$K$9,-$C$33)),IF(AND($D$8=Variables!$B$5,$D$19="NO",$D$12="SI",$D$13="SI",B282&gt;12),(PMT(0.06/12,$K$9,-$C$45)-PMT(0.045/12,$K$9,-$C$45)),IF(AND($D$8=Variables!$B$4,$D$12="SI",$D$19="NO",$D$13="SI",$D$15="NO",B282&gt;18),(PMT(0.06/12,$K$9,-$C$51)-PMT(0.045/12,$K$9,-$C$51)),IF(AND($D$8=Variables!$B$4,$D$12="SI",$D$19="NO",$D$13="SI",$D$15="SI",B282&gt;24),(PMT(0.06/12,$K$9,-$C$57)-PMT(0.045/12,$K$9,-$C$57)),0)))))</f>
        <v>111.43825839224587</v>
      </c>
      <c r="G282" s="14">
        <f>+IF(B282&gt;$K$9,"",IF($D$8=Variables!$B$6,0.21*IPMT('Sim Reg N° 800'!$D$18,'Sim Reg N° 800'!B282,'Sim Reg N° 800'!$K$9,-'Sim Reg N° 800'!$J$10),0))+F282*0.21</f>
        <v>23.402034262371632</v>
      </c>
      <c r="H282" s="14">
        <f t="shared" si="21"/>
        <v>742.86266444567434</v>
      </c>
      <c r="I282" s="14">
        <f t="shared" si="19"/>
        <v>0</v>
      </c>
      <c r="J282" s="14">
        <f t="shared" si="20"/>
        <v>742.86266444567434</v>
      </c>
      <c r="K282" s="26">
        <f t="shared" si="22"/>
        <v>222.85879933370231</v>
      </c>
      <c r="L282" s="21"/>
      <c r="M282" s="19"/>
      <c r="R282" s="20"/>
    </row>
    <row r="283" spans="1:18" hidden="1" x14ac:dyDescent="0.2">
      <c r="A283" s="7"/>
      <c r="B283" s="42">
        <v>250</v>
      </c>
      <c r="C283" s="14">
        <f t="shared" si="18"/>
        <v>54721.344201084932</v>
      </c>
      <c r="D283" s="14">
        <f>IF(B283&gt;$K$9,"",IF($D$8=Variables!$B$3,PPMT($D$18,B283,$K$9,-$J$10),IF($D$8=Variables!$B$6,PPMT($D$18,B283,$K$9,-$J$10),IF($D$8=Variables!$B$5,PPMT($D$18,B283-12,$K$9-12,-$C$45),IF(AND($D$8=Variables!$B$4,$D$15="si"),0,PPMT($D$18,B283-18,$K$9-18,-$J$10-SUM($L$34:$L$51))))))+IF(AND($D$8=Variables!$B$4,'Sim Reg N° 800'!$D$15="SI"),PPMT($D$18,B283-24,$K$9-24,-$J$10-SUM($M$34:$M$57))))</f>
        <v>401.31240950135816</v>
      </c>
      <c r="E283" s="14">
        <f>IF(B283&gt;$K$9,"",IF($D$8=Variables!$B$3,IPMT($D$18,B283,$K$9,-$J$10),IF($D$8=Variables!$B$6,IPMT($D$18,B283,$K$9,-$J$10),IF($D$8=Variables!$B$5,IPMT($D$18,B283-12,$K$9-12,-$C$45),IF(AND($D$8=Variables!$B$4,$D$15="si"),0,IPMT($D$18,B283-18,$K$9-18,-$J$10-SUM($L$34:$L$51))))))+IF(AND($D$8=Variables!$B$4,'Sim Reg N° 800'!$D$15="SI"),IPMT($D$18,B283-24,$K$9-24,-$J$10-SUM($M$34:$M$57))))</f>
        <v>206.70996228969867</v>
      </c>
      <c r="F283" s="14">
        <f>IF(B283&gt;$K$9,"",IF(AND($D$8=Variables!$B$3,$D$12="SI",$D$19="NO",$D$13="SI",B283&gt;=7),(PMT(0.06/12,$K$9,-$C$33)-PMT(0.045/12,$K$9,-$C$33)),IF(AND($D$8=Variables!$B$5,$D$19="NO",$D$12="SI",$D$13="SI",B283&gt;12),(PMT(0.06/12,$K$9,-$C$45)-PMT(0.045/12,$K$9,-$C$45)),IF(AND($D$8=Variables!$B$4,$D$12="SI",$D$19="NO",$D$13="SI",$D$15="NO",B283&gt;18),(PMT(0.06/12,$K$9,-$C$51)-PMT(0.045/12,$K$9,-$C$51)),IF(AND($D$8=Variables!$B$4,$D$12="SI",$D$19="NO",$D$13="SI",$D$15="SI",B283&gt;24),(PMT(0.06/12,$K$9,-$C$57)-PMT(0.045/12,$K$9,-$C$57)),0)))))</f>
        <v>111.43825839224587</v>
      </c>
      <c r="G283" s="14">
        <f>+IF(B283&gt;$K$9,"",IF($D$8=Variables!$B$6,0.21*IPMT('Sim Reg N° 800'!$D$18,'Sim Reg N° 800'!B283,'Sim Reg N° 800'!$K$9,-'Sim Reg N° 800'!$J$10),0))+F283*0.21</f>
        <v>23.402034262371632</v>
      </c>
      <c r="H283" s="14">
        <f t="shared" si="21"/>
        <v>742.86266444567434</v>
      </c>
      <c r="I283" s="14">
        <f t="shared" si="19"/>
        <v>0</v>
      </c>
      <c r="J283" s="14">
        <f t="shared" si="20"/>
        <v>742.86266444567434</v>
      </c>
      <c r="K283" s="26">
        <f t="shared" si="22"/>
        <v>222.85879933370231</v>
      </c>
      <c r="L283" s="21"/>
      <c r="M283" s="19"/>
      <c r="R283" s="20"/>
    </row>
    <row r="284" spans="1:18" hidden="1" x14ac:dyDescent="0.2">
      <c r="A284" s="7"/>
      <c r="B284" s="42">
        <v>251</v>
      </c>
      <c r="C284" s="14">
        <f t="shared" si="18"/>
        <v>54318.526870047943</v>
      </c>
      <c r="D284" s="14">
        <f>IF(B284&gt;$K$9,"",IF($D$8=Variables!$B$3,PPMT($D$18,B284,$K$9,-$J$10),IF($D$8=Variables!$B$6,PPMT($D$18,B284,$K$9,-$J$10),IF($D$8=Variables!$B$5,PPMT($D$18,B284-12,$K$9-12,-$C$45),IF(AND($D$8=Variables!$B$4,$D$15="si"),0,PPMT($D$18,B284-18,$K$9-18,-$J$10-SUM($L$34:$L$51))))))+IF(AND($D$8=Variables!$B$4,'Sim Reg N° 800'!$D$15="SI"),PPMT($D$18,B284-24,$K$9-24,-$J$10-SUM($M$34:$M$57))))</f>
        <v>402.81733103698821</v>
      </c>
      <c r="E284" s="14">
        <f>IF(B284&gt;$K$9,"",IF($D$8=Variables!$B$3,IPMT($D$18,B284,$K$9,-$J$10),IF($D$8=Variables!$B$6,IPMT($D$18,B284,$K$9,-$J$10),IF($D$8=Variables!$B$5,IPMT($D$18,B284-12,$K$9-12,-$C$45),IF(AND($D$8=Variables!$B$4,$D$15="si"),0,IPMT($D$18,B284-18,$K$9-18,-$J$10-SUM($L$34:$L$51))))))+IF(AND($D$8=Variables!$B$4,'Sim Reg N° 800'!$D$15="SI"),IPMT($D$18,B284-24,$K$9-24,-$J$10-SUM($M$34:$M$57))))</f>
        <v>205.20504075406862</v>
      </c>
      <c r="F284" s="14">
        <f>IF(B284&gt;$K$9,"",IF(AND($D$8=Variables!$B$3,$D$12="SI",$D$19="NO",$D$13="SI",B284&gt;=7),(PMT(0.06/12,$K$9,-$C$33)-PMT(0.045/12,$K$9,-$C$33)),IF(AND($D$8=Variables!$B$5,$D$19="NO",$D$12="SI",$D$13="SI",B284&gt;12),(PMT(0.06/12,$K$9,-$C$45)-PMT(0.045/12,$K$9,-$C$45)),IF(AND($D$8=Variables!$B$4,$D$12="SI",$D$19="NO",$D$13="SI",$D$15="NO",B284&gt;18),(PMT(0.06/12,$K$9,-$C$51)-PMT(0.045/12,$K$9,-$C$51)),IF(AND($D$8=Variables!$B$4,$D$12="SI",$D$19="NO",$D$13="SI",$D$15="SI",B284&gt;24),(PMT(0.06/12,$K$9,-$C$57)-PMT(0.045/12,$K$9,-$C$57)),0)))))</f>
        <v>111.43825839224587</v>
      </c>
      <c r="G284" s="14">
        <f>+IF(B284&gt;$K$9,"",IF($D$8=Variables!$B$6,0.21*IPMT('Sim Reg N° 800'!$D$18,'Sim Reg N° 800'!B284,'Sim Reg N° 800'!$K$9,-'Sim Reg N° 800'!$J$10),0))+F284*0.21</f>
        <v>23.402034262371632</v>
      </c>
      <c r="H284" s="14">
        <f t="shared" si="21"/>
        <v>742.86266444567434</v>
      </c>
      <c r="I284" s="14">
        <f t="shared" si="19"/>
        <v>0</v>
      </c>
      <c r="J284" s="14">
        <f t="shared" si="20"/>
        <v>742.86266444567434</v>
      </c>
      <c r="K284" s="26">
        <f t="shared" si="22"/>
        <v>222.85879933370231</v>
      </c>
      <c r="L284" s="21"/>
      <c r="M284" s="19"/>
      <c r="R284" s="20"/>
    </row>
    <row r="285" spans="1:18" hidden="1" x14ac:dyDescent="0.2">
      <c r="A285" s="7"/>
      <c r="B285" s="42">
        <v>252</v>
      </c>
      <c r="C285" s="14">
        <f t="shared" si="18"/>
        <v>53914.198974019564</v>
      </c>
      <c r="D285" s="14">
        <f>IF(B285&gt;$K$9,"",IF($D$8=Variables!$B$3,PPMT($D$18,B285,$K$9,-$J$10),IF($D$8=Variables!$B$6,PPMT($D$18,B285,$K$9,-$J$10),IF($D$8=Variables!$B$5,PPMT($D$18,B285-12,$K$9-12,-$C$45),IF(AND($D$8=Variables!$B$4,$D$15="si"),0,PPMT($D$18,B285-18,$K$9-18,-$J$10-SUM($L$34:$L$51))))))+IF(AND($D$8=Variables!$B$4,'Sim Reg N° 800'!$D$15="SI"),PPMT($D$18,B285-24,$K$9-24,-$J$10-SUM($M$34:$M$57))))</f>
        <v>404.32789602837698</v>
      </c>
      <c r="E285" s="14">
        <f>IF(B285&gt;$K$9,"",IF($D$8=Variables!$B$3,IPMT($D$18,B285,$K$9,-$J$10),IF($D$8=Variables!$B$6,IPMT($D$18,B285,$K$9,-$J$10),IF($D$8=Variables!$B$5,IPMT($D$18,B285-12,$K$9-12,-$C$45),IF(AND($D$8=Variables!$B$4,$D$15="si"),0,IPMT($D$18,B285-18,$K$9-18,-$J$10-SUM($L$34:$L$51))))))+IF(AND($D$8=Variables!$B$4,'Sim Reg N° 800'!$D$15="SI"),IPMT($D$18,B285-24,$K$9-24,-$J$10-SUM($M$34:$M$57))))</f>
        <v>203.6944757626799</v>
      </c>
      <c r="F285" s="14">
        <f>IF(B285&gt;$K$9,"",IF(AND($D$8=Variables!$B$3,$D$12="SI",$D$19="NO",$D$13="SI",B285&gt;=7),(PMT(0.06/12,$K$9,-$C$33)-PMT(0.045/12,$K$9,-$C$33)),IF(AND($D$8=Variables!$B$5,$D$19="NO",$D$12="SI",$D$13="SI",B285&gt;12),(PMT(0.06/12,$K$9,-$C$45)-PMT(0.045/12,$K$9,-$C$45)),IF(AND($D$8=Variables!$B$4,$D$12="SI",$D$19="NO",$D$13="SI",$D$15="NO",B285&gt;18),(PMT(0.06/12,$K$9,-$C$51)-PMT(0.045/12,$K$9,-$C$51)),IF(AND($D$8=Variables!$B$4,$D$12="SI",$D$19="NO",$D$13="SI",$D$15="SI",B285&gt;24),(PMT(0.06/12,$K$9,-$C$57)-PMT(0.045/12,$K$9,-$C$57)),0)))))</f>
        <v>111.43825839224587</v>
      </c>
      <c r="G285" s="14">
        <f>+IF(B285&gt;$K$9,"",IF($D$8=Variables!$B$6,0.21*IPMT('Sim Reg N° 800'!$D$18,'Sim Reg N° 800'!B285,'Sim Reg N° 800'!$K$9,-'Sim Reg N° 800'!$J$10),0))+F285*0.21</f>
        <v>23.402034262371632</v>
      </c>
      <c r="H285" s="14">
        <f t="shared" si="21"/>
        <v>742.86266444567445</v>
      </c>
      <c r="I285" s="14">
        <f t="shared" si="19"/>
        <v>0</v>
      </c>
      <c r="J285" s="14">
        <f t="shared" si="20"/>
        <v>742.86266444567445</v>
      </c>
      <c r="K285" s="26">
        <f t="shared" si="22"/>
        <v>222.85879933370234</v>
      </c>
      <c r="L285" s="21"/>
      <c r="M285" s="19"/>
      <c r="R285" s="20"/>
    </row>
    <row r="286" spans="1:18" hidden="1" x14ac:dyDescent="0.2">
      <c r="A286" s="7"/>
      <c r="B286" s="42">
        <v>253</v>
      </c>
      <c r="C286" s="14">
        <f t="shared" ref="C286:C349" si="23">+IF(B286&gt;$K$9,"",(C285-D286))</f>
        <v>53508.354848381081</v>
      </c>
      <c r="D286" s="14">
        <f>IF(B286&gt;$K$9,"",IF($D$8=Variables!$B$3,PPMT($D$18,B286,$K$9,-$J$10),IF($D$8=Variables!$B$6,PPMT($D$18,B286,$K$9,-$J$10),IF($D$8=Variables!$B$5,PPMT($D$18,B286-12,$K$9-12,-$C$45),IF(AND($D$8=Variables!$B$4,$D$15="si"),0,PPMT($D$18,B286-18,$K$9-18,-$J$10-SUM($L$34:$L$51))))))+IF(AND($D$8=Variables!$B$4,'Sim Reg N° 800'!$D$15="SI"),PPMT($D$18,B286-24,$K$9-24,-$J$10-SUM($M$34:$M$57))))</f>
        <v>405.84412563848338</v>
      </c>
      <c r="E286" s="14">
        <f>IF(B286&gt;$K$9,"",IF($D$8=Variables!$B$3,IPMT($D$18,B286,$K$9,-$J$10),IF($D$8=Variables!$B$6,IPMT($D$18,B286,$K$9,-$J$10),IF($D$8=Variables!$B$5,IPMT($D$18,B286-12,$K$9-12,-$C$45),IF(AND($D$8=Variables!$B$4,$D$15="si"),0,IPMT($D$18,B286-18,$K$9-18,-$J$10-SUM($L$34:$L$51))))))+IF(AND($D$8=Variables!$B$4,'Sim Reg N° 800'!$D$15="SI"),IPMT($D$18,B286-24,$K$9-24,-$J$10-SUM($M$34:$M$57))))</f>
        <v>202.17824615257351</v>
      </c>
      <c r="F286" s="14">
        <f>IF(B286&gt;$K$9,"",IF(AND($D$8=Variables!$B$3,$D$12="SI",$D$19="NO",$D$13="SI",B286&gt;=7),(PMT(0.06/12,$K$9,-$C$33)-PMT(0.045/12,$K$9,-$C$33)),IF(AND($D$8=Variables!$B$5,$D$19="NO",$D$12="SI",$D$13="SI",B286&gt;12),(PMT(0.06/12,$K$9,-$C$45)-PMT(0.045/12,$K$9,-$C$45)),IF(AND($D$8=Variables!$B$4,$D$12="SI",$D$19="NO",$D$13="SI",$D$15="NO",B286&gt;18),(PMT(0.06/12,$K$9,-$C$51)-PMT(0.045/12,$K$9,-$C$51)),IF(AND($D$8=Variables!$B$4,$D$12="SI",$D$19="NO",$D$13="SI",$D$15="SI",B286&gt;24),(PMT(0.06/12,$K$9,-$C$57)-PMT(0.045/12,$K$9,-$C$57)),0)))))</f>
        <v>111.43825839224587</v>
      </c>
      <c r="G286" s="14">
        <f>+IF(B286&gt;$K$9,"",IF($D$8=Variables!$B$6,0.21*IPMT('Sim Reg N° 800'!$D$18,'Sim Reg N° 800'!B286,'Sim Reg N° 800'!$K$9,-'Sim Reg N° 800'!$J$10),0))+F286*0.21</f>
        <v>23.402034262371632</v>
      </c>
      <c r="H286" s="14">
        <f t="shared" si="21"/>
        <v>742.86266444567445</v>
      </c>
      <c r="I286" s="14">
        <f t="shared" ref="I286:I349" si="24">+IF(B286&gt;$K$9,"",I274)</f>
        <v>95.999999999999986</v>
      </c>
      <c r="J286" s="14">
        <f t="shared" ref="J286:J349" si="25">+IF(B286&gt;$K$9,"",I286+H286)</f>
        <v>838.86266444567445</v>
      </c>
      <c r="K286" s="26">
        <f t="shared" si="22"/>
        <v>251.65879933370232</v>
      </c>
      <c r="L286" s="21"/>
      <c r="M286" s="19"/>
      <c r="R286" s="20"/>
    </row>
    <row r="287" spans="1:18" hidden="1" x14ac:dyDescent="0.2">
      <c r="A287" s="7"/>
      <c r="B287" s="42">
        <v>254</v>
      </c>
      <c r="C287" s="14">
        <f t="shared" si="23"/>
        <v>53100.988807271453</v>
      </c>
      <c r="D287" s="14">
        <f>IF(B287&gt;$K$9,"",IF($D$8=Variables!$B$3,PPMT($D$18,B287,$K$9,-$J$10),IF($D$8=Variables!$B$6,PPMT($D$18,B287,$K$9,-$J$10),IF($D$8=Variables!$B$5,PPMT($D$18,B287-12,$K$9-12,-$C$45),IF(AND($D$8=Variables!$B$4,$D$15="si"),0,PPMT($D$18,B287-18,$K$9-18,-$J$10-SUM($L$34:$L$51))))))+IF(AND($D$8=Variables!$B$4,'Sim Reg N° 800'!$D$15="SI"),PPMT($D$18,B287-24,$K$9-24,-$J$10-SUM($M$34:$M$57))))</f>
        <v>407.36604110962764</v>
      </c>
      <c r="E287" s="14">
        <f>IF(B287&gt;$K$9,"",IF($D$8=Variables!$B$3,IPMT($D$18,B287,$K$9,-$J$10),IF($D$8=Variables!$B$6,IPMT($D$18,B287,$K$9,-$J$10),IF($D$8=Variables!$B$5,IPMT($D$18,B287-12,$K$9-12,-$C$45),IF(AND($D$8=Variables!$B$4,$D$15="si"),0,IPMT($D$18,B287-18,$K$9-18,-$J$10-SUM($L$34:$L$51))))))+IF(AND($D$8=Variables!$B$4,'Sim Reg N° 800'!$D$15="SI"),IPMT($D$18,B287-24,$K$9-24,-$J$10-SUM($M$34:$M$57))))</f>
        <v>200.65633068142915</v>
      </c>
      <c r="F287" s="14">
        <f>IF(B287&gt;$K$9,"",IF(AND($D$8=Variables!$B$3,$D$12="SI",$D$19="NO",$D$13="SI",B287&gt;=7),(PMT(0.06/12,$K$9,-$C$33)-PMT(0.045/12,$K$9,-$C$33)),IF(AND($D$8=Variables!$B$5,$D$19="NO",$D$12="SI",$D$13="SI",B287&gt;12),(PMT(0.06/12,$K$9,-$C$45)-PMT(0.045/12,$K$9,-$C$45)),IF(AND($D$8=Variables!$B$4,$D$12="SI",$D$19="NO",$D$13="SI",$D$15="NO",B287&gt;18),(PMT(0.06/12,$K$9,-$C$51)-PMT(0.045/12,$K$9,-$C$51)),IF(AND($D$8=Variables!$B$4,$D$12="SI",$D$19="NO",$D$13="SI",$D$15="SI",B287&gt;24),(PMT(0.06/12,$K$9,-$C$57)-PMT(0.045/12,$K$9,-$C$57)),0)))))</f>
        <v>111.43825839224587</v>
      </c>
      <c r="G287" s="14">
        <f>+IF(B287&gt;$K$9,"",IF($D$8=Variables!$B$6,0.21*IPMT('Sim Reg N° 800'!$D$18,'Sim Reg N° 800'!B287,'Sim Reg N° 800'!$K$9,-'Sim Reg N° 800'!$J$10),0))+F287*0.21</f>
        <v>23.402034262371632</v>
      </c>
      <c r="H287" s="14">
        <f t="shared" ref="H287:H350" si="26">IF(B287&gt;$K$9,"",(G287+E287+D287+F287))</f>
        <v>742.86266444567434</v>
      </c>
      <c r="I287" s="14">
        <f t="shared" si="24"/>
        <v>0</v>
      </c>
      <c r="J287" s="14">
        <f t="shared" si="25"/>
        <v>742.86266444567434</v>
      </c>
      <c r="K287" s="26">
        <f t="shared" si="22"/>
        <v>222.85879933370231</v>
      </c>
      <c r="L287" s="21"/>
      <c r="M287" s="19"/>
      <c r="R287" s="20"/>
    </row>
    <row r="288" spans="1:18" hidden="1" x14ac:dyDescent="0.2">
      <c r="A288" s="7"/>
      <c r="B288" s="42">
        <v>255</v>
      </c>
      <c r="C288" s="14">
        <f t="shared" si="23"/>
        <v>52692.095143507664</v>
      </c>
      <c r="D288" s="14">
        <f>IF(B288&gt;$K$9,"",IF($D$8=Variables!$B$3,PPMT($D$18,B288,$K$9,-$J$10),IF($D$8=Variables!$B$6,PPMT($D$18,B288,$K$9,-$J$10),IF($D$8=Variables!$B$5,PPMT($D$18,B288-12,$K$9-12,-$C$45),IF(AND($D$8=Variables!$B$4,$D$15="si"),0,PPMT($D$18,B288-18,$K$9-18,-$J$10-SUM($L$34:$L$51))))))+IF(AND($D$8=Variables!$B$4,'Sim Reg N° 800'!$D$15="SI"),PPMT($D$18,B288-24,$K$9-24,-$J$10-SUM($M$34:$M$57))))</f>
        <v>408.89366376378877</v>
      </c>
      <c r="E288" s="14">
        <f>IF(B288&gt;$K$9,"",IF($D$8=Variables!$B$3,IPMT($D$18,B288,$K$9,-$J$10),IF($D$8=Variables!$B$6,IPMT($D$18,B288,$K$9,-$J$10),IF($D$8=Variables!$B$5,IPMT($D$18,B288-12,$K$9-12,-$C$45),IF(AND($D$8=Variables!$B$4,$D$15="si"),0,IPMT($D$18,B288-18,$K$9-18,-$J$10-SUM($L$34:$L$51))))))+IF(AND($D$8=Variables!$B$4,'Sim Reg N° 800'!$D$15="SI"),IPMT($D$18,B288-24,$K$9-24,-$J$10-SUM($M$34:$M$57))))</f>
        <v>199.12870802726809</v>
      </c>
      <c r="F288" s="14">
        <f>IF(B288&gt;$K$9,"",IF(AND($D$8=Variables!$B$3,$D$12="SI",$D$19="NO",$D$13="SI",B288&gt;=7),(PMT(0.06/12,$K$9,-$C$33)-PMT(0.045/12,$K$9,-$C$33)),IF(AND($D$8=Variables!$B$5,$D$19="NO",$D$12="SI",$D$13="SI",B288&gt;12),(PMT(0.06/12,$K$9,-$C$45)-PMT(0.045/12,$K$9,-$C$45)),IF(AND($D$8=Variables!$B$4,$D$12="SI",$D$19="NO",$D$13="SI",$D$15="NO",B288&gt;18),(PMT(0.06/12,$K$9,-$C$51)-PMT(0.045/12,$K$9,-$C$51)),IF(AND($D$8=Variables!$B$4,$D$12="SI",$D$19="NO",$D$13="SI",$D$15="SI",B288&gt;24),(PMT(0.06/12,$K$9,-$C$57)-PMT(0.045/12,$K$9,-$C$57)),0)))))</f>
        <v>111.43825839224587</v>
      </c>
      <c r="G288" s="14">
        <f>+IF(B288&gt;$K$9,"",IF($D$8=Variables!$B$6,0.21*IPMT('Sim Reg N° 800'!$D$18,'Sim Reg N° 800'!B288,'Sim Reg N° 800'!$K$9,-'Sim Reg N° 800'!$J$10),0))+F288*0.21</f>
        <v>23.402034262371632</v>
      </c>
      <c r="H288" s="14">
        <f t="shared" si="26"/>
        <v>742.86266444567434</v>
      </c>
      <c r="I288" s="14">
        <f t="shared" si="24"/>
        <v>0</v>
      </c>
      <c r="J288" s="14">
        <f t="shared" si="25"/>
        <v>742.86266444567434</v>
      </c>
      <c r="K288" s="26">
        <f t="shared" si="22"/>
        <v>222.85879933370231</v>
      </c>
      <c r="L288" s="21"/>
      <c r="M288" s="19"/>
      <c r="R288" s="20"/>
    </row>
    <row r="289" spans="1:18" hidden="1" x14ac:dyDescent="0.2">
      <c r="A289" s="7"/>
      <c r="B289" s="42">
        <v>256</v>
      </c>
      <c r="C289" s="14">
        <f t="shared" si="23"/>
        <v>52281.66812850476</v>
      </c>
      <c r="D289" s="14">
        <f>IF(B289&gt;$K$9,"",IF($D$8=Variables!$B$3,PPMT($D$18,B289,$K$9,-$J$10),IF($D$8=Variables!$B$6,PPMT($D$18,B289,$K$9,-$J$10),IF($D$8=Variables!$B$5,PPMT($D$18,B289-12,$K$9-12,-$C$45),IF(AND($D$8=Variables!$B$4,$D$15="si"),0,PPMT($D$18,B289-18,$K$9-18,-$J$10-SUM($L$34:$L$51))))))+IF(AND($D$8=Variables!$B$4,'Sim Reg N° 800'!$D$15="SI"),PPMT($D$18,B289-24,$K$9-24,-$J$10-SUM($M$34:$M$57))))</f>
        <v>410.42701500290298</v>
      </c>
      <c r="E289" s="14">
        <f>IF(B289&gt;$K$9,"",IF($D$8=Variables!$B$3,IPMT($D$18,B289,$K$9,-$J$10),IF($D$8=Variables!$B$6,IPMT($D$18,B289,$K$9,-$J$10),IF($D$8=Variables!$B$5,IPMT($D$18,B289-12,$K$9-12,-$C$45),IF(AND($D$8=Variables!$B$4,$D$15="si"),0,IPMT($D$18,B289-18,$K$9-18,-$J$10-SUM($L$34:$L$51))))))+IF(AND($D$8=Variables!$B$4,'Sim Reg N° 800'!$D$15="SI"),IPMT($D$18,B289-24,$K$9-24,-$J$10-SUM($M$34:$M$57))))</f>
        <v>197.59535678815388</v>
      </c>
      <c r="F289" s="14">
        <f>IF(B289&gt;$K$9,"",IF(AND($D$8=Variables!$B$3,$D$12="SI",$D$19="NO",$D$13="SI",B289&gt;=7),(PMT(0.06/12,$K$9,-$C$33)-PMT(0.045/12,$K$9,-$C$33)),IF(AND($D$8=Variables!$B$5,$D$19="NO",$D$12="SI",$D$13="SI",B289&gt;12),(PMT(0.06/12,$K$9,-$C$45)-PMT(0.045/12,$K$9,-$C$45)),IF(AND($D$8=Variables!$B$4,$D$12="SI",$D$19="NO",$D$13="SI",$D$15="NO",B289&gt;18),(PMT(0.06/12,$K$9,-$C$51)-PMT(0.045/12,$K$9,-$C$51)),IF(AND($D$8=Variables!$B$4,$D$12="SI",$D$19="NO",$D$13="SI",$D$15="SI",B289&gt;24),(PMT(0.06/12,$K$9,-$C$57)-PMT(0.045/12,$K$9,-$C$57)),0)))))</f>
        <v>111.43825839224587</v>
      </c>
      <c r="G289" s="14">
        <f>+IF(B289&gt;$K$9,"",IF($D$8=Variables!$B$6,0.21*IPMT('Sim Reg N° 800'!$D$18,'Sim Reg N° 800'!B289,'Sim Reg N° 800'!$K$9,-'Sim Reg N° 800'!$J$10),0))+F289*0.21</f>
        <v>23.402034262371632</v>
      </c>
      <c r="H289" s="14">
        <f t="shared" si="26"/>
        <v>742.86266444567434</v>
      </c>
      <c r="I289" s="14">
        <f t="shared" si="24"/>
        <v>0</v>
      </c>
      <c r="J289" s="14">
        <f t="shared" si="25"/>
        <v>742.86266444567434</v>
      </c>
      <c r="K289" s="26">
        <f t="shared" si="22"/>
        <v>222.85879933370231</v>
      </c>
      <c r="L289" s="21"/>
      <c r="M289" s="19"/>
      <c r="R289" s="20"/>
    </row>
    <row r="290" spans="1:18" hidden="1" x14ac:dyDescent="0.2">
      <c r="A290" s="7"/>
      <c r="B290" s="42">
        <v>257</v>
      </c>
      <c r="C290" s="14">
        <f t="shared" si="23"/>
        <v>51869.702012195594</v>
      </c>
      <c r="D290" s="14">
        <f>IF(B290&gt;$K$9,"",IF($D$8=Variables!$B$3,PPMT($D$18,B290,$K$9,-$J$10),IF($D$8=Variables!$B$6,PPMT($D$18,B290,$K$9,-$J$10),IF($D$8=Variables!$B$5,PPMT($D$18,B290-12,$K$9-12,-$C$45),IF(AND($D$8=Variables!$B$4,$D$15="si"),0,PPMT($D$18,B290-18,$K$9-18,-$J$10-SUM($L$34:$L$51))))))+IF(AND($D$8=Variables!$B$4,'Sim Reg N° 800'!$D$15="SI"),PPMT($D$18,B290-24,$K$9-24,-$J$10-SUM($M$34:$M$57))))</f>
        <v>411.96611630916385</v>
      </c>
      <c r="E290" s="14">
        <f>IF(B290&gt;$K$9,"",IF($D$8=Variables!$B$3,IPMT($D$18,B290,$K$9,-$J$10),IF($D$8=Variables!$B$6,IPMT($D$18,B290,$K$9,-$J$10),IF($D$8=Variables!$B$5,IPMT($D$18,B290-12,$K$9-12,-$C$45),IF(AND($D$8=Variables!$B$4,$D$15="si"),0,IPMT($D$18,B290-18,$K$9-18,-$J$10-SUM($L$34:$L$51))))))+IF(AND($D$8=Variables!$B$4,'Sim Reg N° 800'!$D$15="SI"),IPMT($D$18,B290-24,$K$9-24,-$J$10-SUM($M$34:$M$57))))</f>
        <v>196.056255481893</v>
      </c>
      <c r="F290" s="14">
        <f>IF(B290&gt;$K$9,"",IF(AND($D$8=Variables!$B$3,$D$12="SI",$D$19="NO",$D$13="SI",B290&gt;=7),(PMT(0.06/12,$K$9,-$C$33)-PMT(0.045/12,$K$9,-$C$33)),IF(AND($D$8=Variables!$B$5,$D$19="NO",$D$12="SI",$D$13="SI",B290&gt;12),(PMT(0.06/12,$K$9,-$C$45)-PMT(0.045/12,$K$9,-$C$45)),IF(AND($D$8=Variables!$B$4,$D$12="SI",$D$19="NO",$D$13="SI",$D$15="NO",B290&gt;18),(PMT(0.06/12,$K$9,-$C$51)-PMT(0.045/12,$K$9,-$C$51)),IF(AND($D$8=Variables!$B$4,$D$12="SI",$D$19="NO",$D$13="SI",$D$15="SI",B290&gt;24),(PMT(0.06/12,$K$9,-$C$57)-PMT(0.045/12,$K$9,-$C$57)),0)))))</f>
        <v>111.43825839224587</v>
      </c>
      <c r="G290" s="14">
        <f>+IF(B290&gt;$K$9,"",IF($D$8=Variables!$B$6,0.21*IPMT('Sim Reg N° 800'!$D$18,'Sim Reg N° 800'!B290,'Sim Reg N° 800'!$K$9,-'Sim Reg N° 800'!$J$10),0))+F290*0.21</f>
        <v>23.402034262371632</v>
      </c>
      <c r="H290" s="14">
        <f t="shared" si="26"/>
        <v>742.86266444567434</v>
      </c>
      <c r="I290" s="14">
        <f t="shared" si="24"/>
        <v>0</v>
      </c>
      <c r="J290" s="14">
        <f t="shared" si="25"/>
        <v>742.86266444567434</v>
      </c>
      <c r="K290" s="26">
        <f t="shared" si="22"/>
        <v>222.85879933370231</v>
      </c>
      <c r="L290" s="21"/>
      <c r="M290" s="19"/>
      <c r="R290" s="20"/>
    </row>
    <row r="291" spans="1:18" hidden="1" x14ac:dyDescent="0.2">
      <c r="A291" s="7"/>
      <c r="B291" s="42">
        <v>258</v>
      </c>
      <c r="C291" s="14">
        <f t="shared" si="23"/>
        <v>51456.191022950268</v>
      </c>
      <c r="D291" s="14">
        <f>IF(B291&gt;$K$9,"",IF($D$8=Variables!$B$3,PPMT($D$18,B291,$K$9,-$J$10),IF($D$8=Variables!$B$6,PPMT($D$18,B291,$K$9,-$J$10),IF($D$8=Variables!$B$5,PPMT($D$18,B291-12,$K$9-12,-$C$45),IF(AND($D$8=Variables!$B$4,$D$15="si"),0,PPMT($D$18,B291-18,$K$9-18,-$J$10-SUM($L$34:$L$51))))))+IF(AND($D$8=Variables!$B$4,'Sim Reg N° 800'!$D$15="SI"),PPMT($D$18,B291-24,$K$9-24,-$J$10-SUM($M$34:$M$57))))</f>
        <v>413.51098924532323</v>
      </c>
      <c r="E291" s="14">
        <f>IF(B291&gt;$K$9,"",IF($D$8=Variables!$B$3,IPMT($D$18,B291,$K$9,-$J$10),IF($D$8=Variables!$B$6,IPMT($D$18,B291,$K$9,-$J$10),IF($D$8=Variables!$B$5,IPMT($D$18,B291-12,$K$9-12,-$C$45),IF(AND($D$8=Variables!$B$4,$D$15="si"),0,IPMT($D$18,B291-18,$K$9-18,-$J$10-SUM($L$34:$L$51))))))+IF(AND($D$8=Variables!$B$4,'Sim Reg N° 800'!$D$15="SI"),IPMT($D$18,B291-24,$K$9-24,-$J$10-SUM($M$34:$M$57))))</f>
        <v>194.5113825457336</v>
      </c>
      <c r="F291" s="14">
        <f>IF(B291&gt;$K$9,"",IF(AND($D$8=Variables!$B$3,$D$12="SI",$D$19="NO",$D$13="SI",B291&gt;=7),(PMT(0.06/12,$K$9,-$C$33)-PMT(0.045/12,$K$9,-$C$33)),IF(AND($D$8=Variables!$B$5,$D$19="NO",$D$12="SI",$D$13="SI",B291&gt;12),(PMT(0.06/12,$K$9,-$C$45)-PMT(0.045/12,$K$9,-$C$45)),IF(AND($D$8=Variables!$B$4,$D$12="SI",$D$19="NO",$D$13="SI",$D$15="NO",B291&gt;18),(PMT(0.06/12,$K$9,-$C$51)-PMT(0.045/12,$K$9,-$C$51)),IF(AND($D$8=Variables!$B$4,$D$12="SI",$D$19="NO",$D$13="SI",$D$15="SI",B291&gt;24),(PMT(0.06/12,$K$9,-$C$57)-PMT(0.045/12,$K$9,-$C$57)),0)))))</f>
        <v>111.43825839224587</v>
      </c>
      <c r="G291" s="14">
        <f>+IF(B291&gt;$K$9,"",IF($D$8=Variables!$B$6,0.21*IPMT('Sim Reg N° 800'!$D$18,'Sim Reg N° 800'!B291,'Sim Reg N° 800'!$K$9,-'Sim Reg N° 800'!$J$10),0))+F291*0.21</f>
        <v>23.402034262371632</v>
      </c>
      <c r="H291" s="14">
        <f t="shared" si="26"/>
        <v>742.86266444567434</v>
      </c>
      <c r="I291" s="14">
        <f t="shared" si="24"/>
        <v>0</v>
      </c>
      <c r="J291" s="14">
        <f t="shared" si="25"/>
        <v>742.86266444567434</v>
      </c>
      <c r="K291" s="26">
        <f t="shared" ref="K291:K354" si="27">+IF(J291="","",J291*0.3)</f>
        <v>222.85879933370231</v>
      </c>
      <c r="L291" s="21"/>
      <c r="M291" s="19"/>
      <c r="R291" s="20"/>
    </row>
    <row r="292" spans="1:18" hidden="1" x14ac:dyDescent="0.2">
      <c r="A292" s="7"/>
      <c r="B292" s="42">
        <v>259</v>
      </c>
      <c r="C292" s="14">
        <f t="shared" si="23"/>
        <v>51041.129367495276</v>
      </c>
      <c r="D292" s="14">
        <f>IF(B292&gt;$K$9,"",IF($D$8=Variables!$B$3,PPMT($D$18,B292,$K$9,-$J$10),IF($D$8=Variables!$B$6,PPMT($D$18,B292,$K$9,-$J$10),IF($D$8=Variables!$B$5,PPMT($D$18,B292-12,$K$9-12,-$C$45),IF(AND($D$8=Variables!$B$4,$D$15="si"),0,PPMT($D$18,B292-18,$K$9-18,-$J$10-SUM($L$34:$L$51))))))+IF(AND($D$8=Variables!$B$4,'Sim Reg N° 800'!$D$15="SI"),PPMT($D$18,B292-24,$K$9-24,-$J$10-SUM($M$34:$M$57))))</f>
        <v>415.06165545499317</v>
      </c>
      <c r="E292" s="14">
        <f>IF(B292&gt;$K$9,"",IF($D$8=Variables!$B$3,IPMT($D$18,B292,$K$9,-$J$10),IF($D$8=Variables!$B$6,IPMT($D$18,B292,$K$9,-$J$10),IF($D$8=Variables!$B$5,IPMT($D$18,B292-12,$K$9-12,-$C$45),IF(AND($D$8=Variables!$B$4,$D$15="si"),0,IPMT($D$18,B292-18,$K$9-18,-$J$10-SUM($L$34:$L$51))))))+IF(AND($D$8=Variables!$B$4,'Sim Reg N° 800'!$D$15="SI"),IPMT($D$18,B292-24,$K$9-24,-$J$10-SUM($M$34:$M$57))))</f>
        <v>192.96071633606363</v>
      </c>
      <c r="F292" s="14">
        <f>IF(B292&gt;$K$9,"",IF(AND($D$8=Variables!$B$3,$D$12="SI",$D$19="NO",$D$13="SI",B292&gt;=7),(PMT(0.06/12,$K$9,-$C$33)-PMT(0.045/12,$K$9,-$C$33)),IF(AND($D$8=Variables!$B$5,$D$19="NO",$D$12="SI",$D$13="SI",B292&gt;12),(PMT(0.06/12,$K$9,-$C$45)-PMT(0.045/12,$K$9,-$C$45)),IF(AND($D$8=Variables!$B$4,$D$12="SI",$D$19="NO",$D$13="SI",$D$15="NO",B292&gt;18),(PMT(0.06/12,$K$9,-$C$51)-PMT(0.045/12,$K$9,-$C$51)),IF(AND($D$8=Variables!$B$4,$D$12="SI",$D$19="NO",$D$13="SI",$D$15="SI",B292&gt;24),(PMT(0.06/12,$K$9,-$C$57)-PMT(0.045/12,$K$9,-$C$57)),0)))))</f>
        <v>111.43825839224587</v>
      </c>
      <c r="G292" s="14">
        <f>+IF(B292&gt;$K$9,"",IF($D$8=Variables!$B$6,0.21*IPMT('Sim Reg N° 800'!$D$18,'Sim Reg N° 800'!B292,'Sim Reg N° 800'!$K$9,-'Sim Reg N° 800'!$J$10),0))+F292*0.21</f>
        <v>23.402034262371632</v>
      </c>
      <c r="H292" s="14">
        <f t="shared" si="26"/>
        <v>742.86266444567434</v>
      </c>
      <c r="I292" s="14">
        <f t="shared" si="24"/>
        <v>0</v>
      </c>
      <c r="J292" s="14">
        <f t="shared" si="25"/>
        <v>742.86266444567434</v>
      </c>
      <c r="K292" s="26">
        <f t="shared" si="27"/>
        <v>222.85879933370231</v>
      </c>
      <c r="L292" s="21"/>
      <c r="M292" s="19"/>
      <c r="R292" s="20"/>
    </row>
    <row r="293" spans="1:18" hidden="1" x14ac:dyDescent="0.2">
      <c r="A293" s="7"/>
      <c r="B293" s="42">
        <v>260</v>
      </c>
      <c r="C293" s="14">
        <f t="shared" si="23"/>
        <v>50624.51123083233</v>
      </c>
      <c r="D293" s="14">
        <f>IF(B293&gt;$K$9,"",IF($D$8=Variables!$B$3,PPMT($D$18,B293,$K$9,-$J$10),IF($D$8=Variables!$B$6,PPMT($D$18,B293,$K$9,-$J$10),IF($D$8=Variables!$B$5,PPMT($D$18,B293-12,$K$9-12,-$C$45),IF(AND($D$8=Variables!$B$4,$D$15="si"),0,PPMT($D$18,B293-18,$K$9-18,-$J$10-SUM($L$34:$L$51))))))+IF(AND($D$8=Variables!$B$4,'Sim Reg N° 800'!$D$15="SI"),PPMT($D$18,B293-24,$K$9-24,-$J$10-SUM($M$34:$M$57))))</f>
        <v>416.61813666294938</v>
      </c>
      <c r="E293" s="14">
        <f>IF(B293&gt;$K$9,"",IF($D$8=Variables!$B$3,IPMT($D$18,B293,$K$9,-$J$10),IF($D$8=Variables!$B$6,IPMT($D$18,B293,$K$9,-$J$10),IF($D$8=Variables!$B$5,IPMT($D$18,B293-12,$K$9-12,-$C$45),IF(AND($D$8=Variables!$B$4,$D$15="si"),0,IPMT($D$18,B293-18,$K$9-18,-$J$10-SUM($L$34:$L$51))))))+IF(AND($D$8=Variables!$B$4,'Sim Reg N° 800'!$D$15="SI"),IPMT($D$18,B293-24,$K$9-24,-$J$10-SUM($M$34:$M$57))))</f>
        <v>191.40423512810742</v>
      </c>
      <c r="F293" s="14">
        <f>IF(B293&gt;$K$9,"",IF(AND($D$8=Variables!$B$3,$D$12="SI",$D$19="NO",$D$13="SI",B293&gt;=7),(PMT(0.06/12,$K$9,-$C$33)-PMT(0.045/12,$K$9,-$C$33)),IF(AND($D$8=Variables!$B$5,$D$19="NO",$D$12="SI",$D$13="SI",B293&gt;12),(PMT(0.06/12,$K$9,-$C$45)-PMT(0.045/12,$K$9,-$C$45)),IF(AND($D$8=Variables!$B$4,$D$12="SI",$D$19="NO",$D$13="SI",$D$15="NO",B293&gt;18),(PMT(0.06/12,$K$9,-$C$51)-PMT(0.045/12,$K$9,-$C$51)),IF(AND($D$8=Variables!$B$4,$D$12="SI",$D$19="NO",$D$13="SI",$D$15="SI",B293&gt;24),(PMT(0.06/12,$K$9,-$C$57)-PMT(0.045/12,$K$9,-$C$57)),0)))))</f>
        <v>111.43825839224587</v>
      </c>
      <c r="G293" s="14">
        <f>+IF(B293&gt;$K$9,"",IF($D$8=Variables!$B$6,0.21*IPMT('Sim Reg N° 800'!$D$18,'Sim Reg N° 800'!B293,'Sim Reg N° 800'!$K$9,-'Sim Reg N° 800'!$J$10),0))+F293*0.21</f>
        <v>23.402034262371632</v>
      </c>
      <c r="H293" s="14">
        <f t="shared" si="26"/>
        <v>742.86266444567434</v>
      </c>
      <c r="I293" s="14">
        <f t="shared" si="24"/>
        <v>0</v>
      </c>
      <c r="J293" s="14">
        <f t="shared" si="25"/>
        <v>742.86266444567434</v>
      </c>
      <c r="K293" s="26">
        <f t="shared" si="27"/>
        <v>222.85879933370231</v>
      </c>
      <c r="L293" s="21"/>
      <c r="M293" s="19"/>
      <c r="R293" s="20"/>
    </row>
    <row r="294" spans="1:18" hidden="1" x14ac:dyDescent="0.2">
      <c r="A294" s="7"/>
      <c r="B294" s="42">
        <v>261</v>
      </c>
      <c r="C294" s="14">
        <f t="shared" si="23"/>
        <v>50206.330776156894</v>
      </c>
      <c r="D294" s="14">
        <f>IF(B294&gt;$K$9,"",IF($D$8=Variables!$B$3,PPMT($D$18,B294,$K$9,-$J$10),IF($D$8=Variables!$B$6,PPMT($D$18,B294,$K$9,-$J$10),IF($D$8=Variables!$B$5,PPMT($D$18,B294-12,$K$9-12,-$C$45),IF(AND($D$8=Variables!$B$4,$D$15="si"),0,PPMT($D$18,B294-18,$K$9-18,-$J$10-SUM($L$34:$L$51))))))+IF(AND($D$8=Variables!$B$4,'Sim Reg N° 800'!$D$15="SI"),PPMT($D$18,B294-24,$K$9-24,-$J$10-SUM($M$34:$M$57))))</f>
        <v>418.1804546754355</v>
      </c>
      <c r="E294" s="14">
        <f>IF(B294&gt;$K$9,"",IF($D$8=Variables!$B$3,IPMT($D$18,B294,$K$9,-$J$10),IF($D$8=Variables!$B$6,IPMT($D$18,B294,$K$9,-$J$10),IF($D$8=Variables!$B$5,IPMT($D$18,B294-12,$K$9-12,-$C$45),IF(AND($D$8=Variables!$B$4,$D$15="si"),0,IPMT($D$18,B294-18,$K$9-18,-$J$10-SUM($L$34:$L$51))))))+IF(AND($D$8=Variables!$B$4,'Sim Reg N° 800'!$D$15="SI"),IPMT($D$18,B294-24,$K$9-24,-$J$10-SUM($M$34:$M$57))))</f>
        <v>189.84191711562136</v>
      </c>
      <c r="F294" s="14">
        <f>IF(B294&gt;$K$9,"",IF(AND($D$8=Variables!$B$3,$D$12="SI",$D$19="NO",$D$13="SI",B294&gt;=7),(PMT(0.06/12,$K$9,-$C$33)-PMT(0.045/12,$K$9,-$C$33)),IF(AND($D$8=Variables!$B$5,$D$19="NO",$D$12="SI",$D$13="SI",B294&gt;12),(PMT(0.06/12,$K$9,-$C$45)-PMT(0.045/12,$K$9,-$C$45)),IF(AND($D$8=Variables!$B$4,$D$12="SI",$D$19="NO",$D$13="SI",$D$15="NO",B294&gt;18),(PMT(0.06/12,$K$9,-$C$51)-PMT(0.045/12,$K$9,-$C$51)),IF(AND($D$8=Variables!$B$4,$D$12="SI",$D$19="NO",$D$13="SI",$D$15="SI",B294&gt;24),(PMT(0.06/12,$K$9,-$C$57)-PMT(0.045/12,$K$9,-$C$57)),0)))))</f>
        <v>111.43825839224587</v>
      </c>
      <c r="G294" s="14">
        <f>+IF(B294&gt;$K$9,"",IF($D$8=Variables!$B$6,0.21*IPMT('Sim Reg N° 800'!$D$18,'Sim Reg N° 800'!B294,'Sim Reg N° 800'!$K$9,-'Sim Reg N° 800'!$J$10),0))+F294*0.21</f>
        <v>23.402034262371632</v>
      </c>
      <c r="H294" s="14">
        <f t="shared" si="26"/>
        <v>742.86266444567434</v>
      </c>
      <c r="I294" s="14">
        <f t="shared" si="24"/>
        <v>0</v>
      </c>
      <c r="J294" s="14">
        <f t="shared" si="25"/>
        <v>742.86266444567434</v>
      </c>
      <c r="K294" s="26">
        <f t="shared" si="27"/>
        <v>222.85879933370231</v>
      </c>
      <c r="L294" s="21"/>
      <c r="M294" s="19"/>
      <c r="R294" s="20"/>
    </row>
    <row r="295" spans="1:18" hidden="1" x14ac:dyDescent="0.2">
      <c r="A295" s="7"/>
      <c r="B295" s="42">
        <v>262</v>
      </c>
      <c r="C295" s="14">
        <f t="shared" si="23"/>
        <v>49786.582144776425</v>
      </c>
      <c r="D295" s="14">
        <f>IF(B295&gt;$K$9,"",IF($D$8=Variables!$B$3,PPMT($D$18,B295,$K$9,-$J$10),IF($D$8=Variables!$B$6,PPMT($D$18,B295,$K$9,-$J$10),IF($D$8=Variables!$B$5,PPMT($D$18,B295-12,$K$9-12,-$C$45),IF(AND($D$8=Variables!$B$4,$D$15="si"),0,PPMT($D$18,B295-18,$K$9-18,-$J$10-SUM($L$34:$L$51))))))+IF(AND($D$8=Variables!$B$4,'Sim Reg N° 800'!$D$15="SI"),PPMT($D$18,B295-24,$K$9-24,-$J$10-SUM($M$34:$M$57))))</f>
        <v>419.7486313804684</v>
      </c>
      <c r="E295" s="14">
        <f>IF(B295&gt;$K$9,"",IF($D$8=Variables!$B$3,IPMT($D$18,B295,$K$9,-$J$10),IF($D$8=Variables!$B$6,IPMT($D$18,B295,$K$9,-$J$10),IF($D$8=Variables!$B$5,IPMT($D$18,B295-12,$K$9-12,-$C$45),IF(AND($D$8=Variables!$B$4,$D$15="si"),0,IPMT($D$18,B295-18,$K$9-18,-$J$10-SUM($L$34:$L$51))))))+IF(AND($D$8=Variables!$B$4,'Sim Reg N° 800'!$D$15="SI"),IPMT($D$18,B295-24,$K$9-24,-$J$10-SUM($M$34:$M$57))))</f>
        <v>188.27374041058849</v>
      </c>
      <c r="F295" s="14">
        <f>IF(B295&gt;$K$9,"",IF(AND($D$8=Variables!$B$3,$D$12="SI",$D$19="NO",$D$13="SI",B295&gt;=7),(PMT(0.06/12,$K$9,-$C$33)-PMT(0.045/12,$K$9,-$C$33)),IF(AND($D$8=Variables!$B$5,$D$19="NO",$D$12="SI",$D$13="SI",B295&gt;12),(PMT(0.06/12,$K$9,-$C$45)-PMT(0.045/12,$K$9,-$C$45)),IF(AND($D$8=Variables!$B$4,$D$12="SI",$D$19="NO",$D$13="SI",$D$15="NO",B295&gt;18),(PMT(0.06/12,$K$9,-$C$51)-PMT(0.045/12,$K$9,-$C$51)),IF(AND($D$8=Variables!$B$4,$D$12="SI",$D$19="NO",$D$13="SI",$D$15="SI",B295&gt;24),(PMT(0.06/12,$K$9,-$C$57)-PMT(0.045/12,$K$9,-$C$57)),0)))))</f>
        <v>111.43825839224587</v>
      </c>
      <c r="G295" s="14">
        <f>+IF(B295&gt;$K$9,"",IF($D$8=Variables!$B$6,0.21*IPMT('Sim Reg N° 800'!$D$18,'Sim Reg N° 800'!B295,'Sim Reg N° 800'!$K$9,-'Sim Reg N° 800'!$J$10),0))+F295*0.21</f>
        <v>23.402034262371632</v>
      </c>
      <c r="H295" s="14">
        <f t="shared" si="26"/>
        <v>742.86266444567445</v>
      </c>
      <c r="I295" s="14">
        <f t="shared" si="24"/>
        <v>0</v>
      </c>
      <c r="J295" s="14">
        <f t="shared" si="25"/>
        <v>742.86266444567445</v>
      </c>
      <c r="K295" s="26">
        <f t="shared" si="27"/>
        <v>222.85879933370234</v>
      </c>
      <c r="L295" s="21"/>
      <c r="M295" s="19"/>
      <c r="R295" s="20"/>
    </row>
    <row r="296" spans="1:18" hidden="1" x14ac:dyDescent="0.2">
      <c r="A296" s="7"/>
      <c r="B296" s="42">
        <v>263</v>
      </c>
      <c r="C296" s="14">
        <f t="shared" si="23"/>
        <v>49365.259456028281</v>
      </c>
      <c r="D296" s="14">
        <f>IF(B296&gt;$K$9,"",IF($D$8=Variables!$B$3,PPMT($D$18,B296,$K$9,-$J$10),IF($D$8=Variables!$B$6,PPMT($D$18,B296,$K$9,-$J$10),IF($D$8=Variables!$B$5,PPMT($D$18,B296-12,$K$9-12,-$C$45),IF(AND($D$8=Variables!$B$4,$D$15="si"),0,PPMT($D$18,B296-18,$K$9-18,-$J$10-SUM($L$34:$L$51))))))+IF(AND($D$8=Variables!$B$4,'Sim Reg N° 800'!$D$15="SI"),PPMT($D$18,B296-24,$K$9-24,-$J$10-SUM($M$34:$M$57))))</f>
        <v>421.32268874814514</v>
      </c>
      <c r="E296" s="14">
        <f>IF(B296&gt;$K$9,"",IF($D$8=Variables!$B$3,IPMT($D$18,B296,$K$9,-$J$10),IF($D$8=Variables!$B$6,IPMT($D$18,B296,$K$9,-$J$10),IF($D$8=Variables!$B$5,IPMT($D$18,B296-12,$K$9-12,-$C$45),IF(AND($D$8=Variables!$B$4,$D$15="si"),0,IPMT($D$18,B296-18,$K$9-18,-$J$10-SUM($L$34:$L$51))))))+IF(AND($D$8=Variables!$B$4,'Sim Reg N° 800'!$D$15="SI"),IPMT($D$18,B296-24,$K$9-24,-$J$10-SUM($M$34:$M$57))))</f>
        <v>186.69968304291172</v>
      </c>
      <c r="F296" s="14">
        <f>IF(B296&gt;$K$9,"",IF(AND($D$8=Variables!$B$3,$D$12="SI",$D$19="NO",$D$13="SI",B296&gt;=7),(PMT(0.06/12,$K$9,-$C$33)-PMT(0.045/12,$K$9,-$C$33)),IF(AND($D$8=Variables!$B$5,$D$19="NO",$D$12="SI",$D$13="SI",B296&gt;12),(PMT(0.06/12,$K$9,-$C$45)-PMT(0.045/12,$K$9,-$C$45)),IF(AND($D$8=Variables!$B$4,$D$12="SI",$D$19="NO",$D$13="SI",$D$15="NO",B296&gt;18),(PMT(0.06/12,$K$9,-$C$51)-PMT(0.045/12,$K$9,-$C$51)),IF(AND($D$8=Variables!$B$4,$D$12="SI",$D$19="NO",$D$13="SI",$D$15="SI",B296&gt;24),(PMT(0.06/12,$K$9,-$C$57)-PMT(0.045/12,$K$9,-$C$57)),0)))))</f>
        <v>111.43825839224587</v>
      </c>
      <c r="G296" s="14">
        <f>+IF(B296&gt;$K$9,"",IF($D$8=Variables!$B$6,0.21*IPMT('Sim Reg N° 800'!$D$18,'Sim Reg N° 800'!B296,'Sim Reg N° 800'!$K$9,-'Sim Reg N° 800'!$J$10),0))+F296*0.21</f>
        <v>23.402034262371632</v>
      </c>
      <c r="H296" s="14">
        <f t="shared" si="26"/>
        <v>742.86266444567434</v>
      </c>
      <c r="I296" s="14">
        <f t="shared" si="24"/>
        <v>0</v>
      </c>
      <c r="J296" s="14">
        <f t="shared" si="25"/>
        <v>742.86266444567434</v>
      </c>
      <c r="K296" s="26">
        <f t="shared" si="27"/>
        <v>222.85879933370231</v>
      </c>
      <c r="L296" s="21"/>
      <c r="M296" s="19"/>
      <c r="R296" s="20"/>
    </row>
    <row r="297" spans="1:18" hidden="1" x14ac:dyDescent="0.2">
      <c r="A297" s="7"/>
      <c r="B297" s="42">
        <v>264</v>
      </c>
      <c r="C297" s="14">
        <f t="shared" si="23"/>
        <v>48942.356807197328</v>
      </c>
      <c r="D297" s="14">
        <f>IF(B297&gt;$K$9,"",IF($D$8=Variables!$B$3,PPMT($D$18,B297,$K$9,-$J$10),IF($D$8=Variables!$B$6,PPMT($D$18,B297,$K$9,-$J$10),IF($D$8=Variables!$B$5,PPMT($D$18,B297-12,$K$9-12,-$C$45),IF(AND($D$8=Variables!$B$4,$D$15="si"),0,PPMT($D$18,B297-18,$K$9-18,-$J$10-SUM($L$34:$L$51))))))+IF(AND($D$8=Variables!$B$4,'Sim Reg N° 800'!$D$15="SI"),PPMT($D$18,B297-24,$K$9-24,-$J$10-SUM($M$34:$M$57))))</f>
        <v>422.90264883095068</v>
      </c>
      <c r="E297" s="14">
        <f>IF(B297&gt;$K$9,"",IF($D$8=Variables!$B$3,IPMT($D$18,B297,$K$9,-$J$10),IF($D$8=Variables!$B$6,IPMT($D$18,B297,$K$9,-$J$10),IF($D$8=Variables!$B$5,IPMT($D$18,B297-12,$K$9-12,-$C$45),IF(AND($D$8=Variables!$B$4,$D$15="si"),0,IPMT($D$18,B297-18,$K$9-18,-$J$10-SUM($L$34:$L$51))))))+IF(AND($D$8=Variables!$B$4,'Sim Reg N° 800'!$D$15="SI"),IPMT($D$18,B297-24,$K$9-24,-$J$10-SUM($M$34:$M$57))))</f>
        <v>185.11972296010615</v>
      </c>
      <c r="F297" s="14">
        <f>IF(B297&gt;$K$9,"",IF(AND($D$8=Variables!$B$3,$D$12="SI",$D$19="NO",$D$13="SI",B297&gt;=7),(PMT(0.06/12,$K$9,-$C$33)-PMT(0.045/12,$K$9,-$C$33)),IF(AND($D$8=Variables!$B$5,$D$19="NO",$D$12="SI",$D$13="SI",B297&gt;12),(PMT(0.06/12,$K$9,-$C$45)-PMT(0.045/12,$K$9,-$C$45)),IF(AND($D$8=Variables!$B$4,$D$12="SI",$D$19="NO",$D$13="SI",$D$15="NO",B297&gt;18),(PMT(0.06/12,$K$9,-$C$51)-PMT(0.045/12,$K$9,-$C$51)),IF(AND($D$8=Variables!$B$4,$D$12="SI",$D$19="NO",$D$13="SI",$D$15="SI",B297&gt;24),(PMT(0.06/12,$K$9,-$C$57)-PMT(0.045/12,$K$9,-$C$57)),0)))))</f>
        <v>111.43825839224587</v>
      </c>
      <c r="G297" s="14">
        <f>+IF(B297&gt;$K$9,"",IF($D$8=Variables!$B$6,0.21*IPMT('Sim Reg N° 800'!$D$18,'Sim Reg N° 800'!B297,'Sim Reg N° 800'!$K$9,-'Sim Reg N° 800'!$J$10),0))+F297*0.21</f>
        <v>23.402034262371632</v>
      </c>
      <c r="H297" s="14">
        <f t="shared" si="26"/>
        <v>742.86266444567434</v>
      </c>
      <c r="I297" s="14">
        <f t="shared" si="24"/>
        <v>0</v>
      </c>
      <c r="J297" s="14">
        <f t="shared" si="25"/>
        <v>742.86266444567434</v>
      </c>
      <c r="K297" s="26">
        <f t="shared" si="27"/>
        <v>222.85879933370231</v>
      </c>
      <c r="L297" s="21"/>
      <c r="M297" s="19"/>
      <c r="R297" s="20"/>
    </row>
    <row r="298" spans="1:18" hidden="1" x14ac:dyDescent="0.2">
      <c r="A298" s="7"/>
      <c r="B298" s="42">
        <v>265</v>
      </c>
      <c r="C298" s="14">
        <f t="shared" si="23"/>
        <v>48517.868273433261</v>
      </c>
      <c r="D298" s="14">
        <f>IF(B298&gt;$K$9,"",IF($D$8=Variables!$B$3,PPMT($D$18,B298,$K$9,-$J$10),IF($D$8=Variables!$B$6,PPMT($D$18,B298,$K$9,-$J$10),IF($D$8=Variables!$B$5,PPMT($D$18,B298-12,$K$9-12,-$C$45),IF(AND($D$8=Variables!$B$4,$D$15="si"),0,PPMT($D$18,B298-18,$K$9-18,-$J$10-SUM($L$34:$L$51))))))+IF(AND($D$8=Variables!$B$4,'Sim Reg N° 800'!$D$15="SI"),PPMT($D$18,B298-24,$K$9-24,-$J$10-SUM($M$34:$M$57))))</f>
        <v>424.48853376406669</v>
      </c>
      <c r="E298" s="14">
        <f>IF(B298&gt;$K$9,"",IF($D$8=Variables!$B$3,IPMT($D$18,B298,$K$9,-$J$10),IF($D$8=Variables!$B$6,IPMT($D$18,B298,$K$9,-$J$10),IF($D$8=Variables!$B$5,IPMT($D$18,B298-12,$K$9-12,-$C$45),IF(AND($D$8=Variables!$B$4,$D$15="si"),0,IPMT($D$18,B298-18,$K$9-18,-$J$10-SUM($L$34:$L$51))))))+IF(AND($D$8=Variables!$B$4,'Sim Reg N° 800'!$D$15="SI"),IPMT($D$18,B298-24,$K$9-24,-$J$10-SUM($M$34:$M$57))))</f>
        <v>183.53383802699011</v>
      </c>
      <c r="F298" s="14">
        <f>IF(B298&gt;$K$9,"",IF(AND($D$8=Variables!$B$3,$D$12="SI",$D$19="NO",$D$13="SI",B298&gt;=7),(PMT(0.06/12,$K$9,-$C$33)-PMT(0.045/12,$K$9,-$C$33)),IF(AND($D$8=Variables!$B$5,$D$19="NO",$D$12="SI",$D$13="SI",B298&gt;12),(PMT(0.06/12,$K$9,-$C$45)-PMT(0.045/12,$K$9,-$C$45)),IF(AND($D$8=Variables!$B$4,$D$12="SI",$D$19="NO",$D$13="SI",$D$15="NO",B298&gt;18),(PMT(0.06/12,$K$9,-$C$51)-PMT(0.045/12,$K$9,-$C$51)),IF(AND($D$8=Variables!$B$4,$D$12="SI",$D$19="NO",$D$13="SI",$D$15="SI",B298&gt;24),(PMT(0.06/12,$K$9,-$C$57)-PMT(0.045/12,$K$9,-$C$57)),0)))))</f>
        <v>111.43825839224587</v>
      </c>
      <c r="G298" s="14">
        <f>+IF(B298&gt;$K$9,"",IF($D$8=Variables!$B$6,0.21*IPMT('Sim Reg N° 800'!$D$18,'Sim Reg N° 800'!B298,'Sim Reg N° 800'!$K$9,-'Sim Reg N° 800'!$J$10),0))+F298*0.21</f>
        <v>23.402034262371632</v>
      </c>
      <c r="H298" s="14">
        <f t="shared" si="26"/>
        <v>742.86266444567434</v>
      </c>
      <c r="I298" s="14">
        <f t="shared" si="24"/>
        <v>95.999999999999986</v>
      </c>
      <c r="J298" s="14">
        <f t="shared" si="25"/>
        <v>838.86266444567434</v>
      </c>
      <c r="K298" s="26">
        <f t="shared" si="27"/>
        <v>251.65879933370229</v>
      </c>
      <c r="L298" s="21"/>
      <c r="M298" s="19"/>
      <c r="R298" s="20"/>
    </row>
    <row r="299" spans="1:18" hidden="1" x14ac:dyDescent="0.2">
      <c r="A299" s="7"/>
      <c r="B299" s="42">
        <v>266</v>
      </c>
      <c r="C299" s="14">
        <f t="shared" si="23"/>
        <v>48091.787907667582</v>
      </c>
      <c r="D299" s="14">
        <f>IF(B299&gt;$K$9,"",IF($D$8=Variables!$B$3,PPMT($D$18,B299,$K$9,-$J$10),IF($D$8=Variables!$B$6,PPMT($D$18,B299,$K$9,-$J$10),IF($D$8=Variables!$B$5,PPMT($D$18,B299-12,$K$9-12,-$C$45),IF(AND($D$8=Variables!$B$4,$D$15="si"),0,PPMT($D$18,B299-18,$K$9-18,-$J$10-SUM($L$34:$L$51))))))+IF(AND($D$8=Variables!$B$4,'Sim Reg N° 800'!$D$15="SI"),PPMT($D$18,B299-24,$K$9-24,-$J$10-SUM($M$34:$M$57))))</f>
        <v>426.08036576568196</v>
      </c>
      <c r="E299" s="14">
        <f>IF(B299&gt;$K$9,"",IF($D$8=Variables!$B$3,IPMT($D$18,B299,$K$9,-$J$10),IF($D$8=Variables!$B$6,IPMT($D$18,B299,$K$9,-$J$10),IF($D$8=Variables!$B$5,IPMT($D$18,B299-12,$K$9-12,-$C$45),IF(AND($D$8=Variables!$B$4,$D$15="si"),0,IPMT($D$18,B299-18,$K$9-18,-$J$10-SUM($L$34:$L$51))))))+IF(AND($D$8=Variables!$B$4,'Sim Reg N° 800'!$D$15="SI"),IPMT($D$18,B299-24,$K$9-24,-$J$10-SUM($M$34:$M$57))))</f>
        <v>181.94200602537487</v>
      </c>
      <c r="F299" s="14">
        <f>IF(B299&gt;$K$9,"",IF(AND($D$8=Variables!$B$3,$D$12="SI",$D$19="NO",$D$13="SI",B299&gt;=7),(PMT(0.06/12,$K$9,-$C$33)-PMT(0.045/12,$K$9,-$C$33)),IF(AND($D$8=Variables!$B$5,$D$19="NO",$D$12="SI",$D$13="SI",B299&gt;12),(PMT(0.06/12,$K$9,-$C$45)-PMT(0.045/12,$K$9,-$C$45)),IF(AND($D$8=Variables!$B$4,$D$12="SI",$D$19="NO",$D$13="SI",$D$15="NO",B299&gt;18),(PMT(0.06/12,$K$9,-$C$51)-PMT(0.045/12,$K$9,-$C$51)),IF(AND($D$8=Variables!$B$4,$D$12="SI",$D$19="NO",$D$13="SI",$D$15="SI",B299&gt;24),(PMT(0.06/12,$K$9,-$C$57)-PMT(0.045/12,$K$9,-$C$57)),0)))))</f>
        <v>111.43825839224587</v>
      </c>
      <c r="G299" s="14">
        <f>+IF(B299&gt;$K$9,"",IF($D$8=Variables!$B$6,0.21*IPMT('Sim Reg N° 800'!$D$18,'Sim Reg N° 800'!B299,'Sim Reg N° 800'!$K$9,-'Sim Reg N° 800'!$J$10),0))+F299*0.21</f>
        <v>23.402034262371632</v>
      </c>
      <c r="H299" s="14">
        <f t="shared" si="26"/>
        <v>742.86266444567434</v>
      </c>
      <c r="I299" s="14">
        <f t="shared" si="24"/>
        <v>0</v>
      </c>
      <c r="J299" s="14">
        <f t="shared" si="25"/>
        <v>742.86266444567434</v>
      </c>
      <c r="K299" s="26">
        <f t="shared" si="27"/>
        <v>222.85879933370231</v>
      </c>
      <c r="L299" s="21"/>
      <c r="M299" s="19"/>
      <c r="R299" s="20"/>
    </row>
    <row r="300" spans="1:18" hidden="1" x14ac:dyDescent="0.2">
      <c r="A300" s="7"/>
      <c r="B300" s="42">
        <v>267</v>
      </c>
      <c r="C300" s="14">
        <f t="shared" si="23"/>
        <v>47664.109740530279</v>
      </c>
      <c r="D300" s="14">
        <f>IF(B300&gt;$K$9,"",IF($D$8=Variables!$B$3,PPMT($D$18,B300,$K$9,-$J$10),IF($D$8=Variables!$B$6,PPMT($D$18,B300,$K$9,-$J$10),IF($D$8=Variables!$B$5,PPMT($D$18,B300-12,$K$9-12,-$C$45),IF(AND($D$8=Variables!$B$4,$D$15="si"),0,PPMT($D$18,B300-18,$K$9-18,-$J$10-SUM($L$34:$L$51))))))+IF(AND($D$8=Variables!$B$4,'Sim Reg N° 800'!$D$15="SI"),PPMT($D$18,B300-24,$K$9-24,-$J$10-SUM($M$34:$M$57))))</f>
        <v>427.67816713730326</v>
      </c>
      <c r="E300" s="14">
        <f>IF(B300&gt;$K$9,"",IF($D$8=Variables!$B$3,IPMT($D$18,B300,$K$9,-$J$10),IF($D$8=Variables!$B$6,IPMT($D$18,B300,$K$9,-$J$10),IF($D$8=Variables!$B$5,IPMT($D$18,B300-12,$K$9-12,-$C$45),IF(AND($D$8=Variables!$B$4,$D$15="si"),0,IPMT($D$18,B300-18,$K$9-18,-$J$10-SUM($L$34:$L$51))))))+IF(AND($D$8=Variables!$B$4,'Sim Reg N° 800'!$D$15="SI"),IPMT($D$18,B300-24,$K$9-24,-$J$10-SUM($M$34:$M$57))))</f>
        <v>180.34420465375356</v>
      </c>
      <c r="F300" s="14">
        <f>IF(B300&gt;$K$9,"",IF(AND($D$8=Variables!$B$3,$D$12="SI",$D$19="NO",$D$13="SI",B300&gt;=7),(PMT(0.06/12,$K$9,-$C$33)-PMT(0.045/12,$K$9,-$C$33)),IF(AND($D$8=Variables!$B$5,$D$19="NO",$D$12="SI",$D$13="SI",B300&gt;12),(PMT(0.06/12,$K$9,-$C$45)-PMT(0.045/12,$K$9,-$C$45)),IF(AND($D$8=Variables!$B$4,$D$12="SI",$D$19="NO",$D$13="SI",$D$15="NO",B300&gt;18),(PMT(0.06/12,$K$9,-$C$51)-PMT(0.045/12,$K$9,-$C$51)),IF(AND($D$8=Variables!$B$4,$D$12="SI",$D$19="NO",$D$13="SI",$D$15="SI",B300&gt;24),(PMT(0.06/12,$K$9,-$C$57)-PMT(0.045/12,$K$9,-$C$57)),0)))))</f>
        <v>111.43825839224587</v>
      </c>
      <c r="G300" s="14">
        <f>+IF(B300&gt;$K$9,"",IF($D$8=Variables!$B$6,0.21*IPMT('Sim Reg N° 800'!$D$18,'Sim Reg N° 800'!B300,'Sim Reg N° 800'!$K$9,-'Sim Reg N° 800'!$J$10),0))+F300*0.21</f>
        <v>23.402034262371632</v>
      </c>
      <c r="H300" s="14">
        <f t="shared" si="26"/>
        <v>742.86266444567434</v>
      </c>
      <c r="I300" s="14">
        <f t="shared" si="24"/>
        <v>0</v>
      </c>
      <c r="J300" s="14">
        <f t="shared" si="25"/>
        <v>742.86266444567434</v>
      </c>
      <c r="K300" s="26">
        <f t="shared" si="27"/>
        <v>222.85879933370231</v>
      </c>
      <c r="L300" s="21"/>
      <c r="M300" s="19"/>
      <c r="R300" s="20"/>
    </row>
    <row r="301" spans="1:18" hidden="1" x14ac:dyDescent="0.2">
      <c r="A301" s="7"/>
      <c r="B301" s="42">
        <v>268</v>
      </c>
      <c r="C301" s="14">
        <f t="shared" si="23"/>
        <v>47234.827780266212</v>
      </c>
      <c r="D301" s="14">
        <f>IF(B301&gt;$K$9,"",IF($D$8=Variables!$B$3,PPMT($D$18,B301,$K$9,-$J$10),IF($D$8=Variables!$B$6,PPMT($D$18,B301,$K$9,-$J$10),IF($D$8=Variables!$B$5,PPMT($D$18,B301-12,$K$9-12,-$C$45),IF(AND($D$8=Variables!$B$4,$D$15="si"),0,PPMT($D$18,B301-18,$K$9-18,-$J$10-SUM($L$34:$L$51))))))+IF(AND($D$8=Variables!$B$4,'Sim Reg N° 800'!$D$15="SI"),PPMT($D$18,B301-24,$K$9-24,-$J$10-SUM($M$34:$M$57))))</f>
        <v>429.28196026406818</v>
      </c>
      <c r="E301" s="14">
        <f>IF(B301&gt;$K$9,"",IF($D$8=Variables!$B$3,IPMT($D$18,B301,$K$9,-$J$10),IF($D$8=Variables!$B$6,IPMT($D$18,B301,$K$9,-$J$10),IF($D$8=Variables!$B$5,IPMT($D$18,B301-12,$K$9-12,-$C$45),IF(AND($D$8=Variables!$B$4,$D$15="si"),0,IPMT($D$18,B301-18,$K$9-18,-$J$10-SUM($L$34:$L$51))))))+IF(AND($D$8=Variables!$B$4,'Sim Reg N° 800'!$D$15="SI"),IPMT($D$18,B301-24,$K$9-24,-$J$10-SUM($M$34:$M$57))))</f>
        <v>178.74041152698868</v>
      </c>
      <c r="F301" s="14">
        <f>IF(B301&gt;$K$9,"",IF(AND($D$8=Variables!$B$3,$D$12="SI",$D$19="NO",$D$13="SI",B301&gt;=7),(PMT(0.06/12,$K$9,-$C$33)-PMT(0.045/12,$K$9,-$C$33)),IF(AND($D$8=Variables!$B$5,$D$19="NO",$D$12="SI",$D$13="SI",B301&gt;12),(PMT(0.06/12,$K$9,-$C$45)-PMT(0.045/12,$K$9,-$C$45)),IF(AND($D$8=Variables!$B$4,$D$12="SI",$D$19="NO",$D$13="SI",$D$15="NO",B301&gt;18),(PMT(0.06/12,$K$9,-$C$51)-PMT(0.045/12,$K$9,-$C$51)),IF(AND($D$8=Variables!$B$4,$D$12="SI",$D$19="NO",$D$13="SI",$D$15="SI",B301&gt;24),(PMT(0.06/12,$K$9,-$C$57)-PMT(0.045/12,$K$9,-$C$57)),0)))))</f>
        <v>111.43825839224587</v>
      </c>
      <c r="G301" s="14">
        <f>+IF(B301&gt;$K$9,"",IF($D$8=Variables!$B$6,0.21*IPMT('Sim Reg N° 800'!$D$18,'Sim Reg N° 800'!B301,'Sim Reg N° 800'!$K$9,-'Sim Reg N° 800'!$J$10),0))+F301*0.21</f>
        <v>23.402034262371632</v>
      </c>
      <c r="H301" s="14">
        <f t="shared" si="26"/>
        <v>742.86266444567434</v>
      </c>
      <c r="I301" s="14">
        <f t="shared" si="24"/>
        <v>0</v>
      </c>
      <c r="J301" s="14">
        <f t="shared" si="25"/>
        <v>742.86266444567434</v>
      </c>
      <c r="K301" s="26">
        <f t="shared" si="27"/>
        <v>222.85879933370231</v>
      </c>
      <c r="L301" s="21"/>
      <c r="M301" s="19"/>
      <c r="R301" s="20"/>
    </row>
    <row r="302" spans="1:18" hidden="1" x14ac:dyDescent="0.2">
      <c r="A302" s="7"/>
      <c r="B302" s="42">
        <v>269</v>
      </c>
      <c r="C302" s="14">
        <f t="shared" si="23"/>
        <v>46803.936012651153</v>
      </c>
      <c r="D302" s="14">
        <f>IF(B302&gt;$K$9,"",IF($D$8=Variables!$B$3,PPMT($D$18,B302,$K$9,-$J$10),IF($D$8=Variables!$B$6,PPMT($D$18,B302,$K$9,-$J$10),IF($D$8=Variables!$B$5,PPMT($D$18,B302-12,$K$9-12,-$C$45),IF(AND($D$8=Variables!$B$4,$D$15="si"),0,PPMT($D$18,B302-18,$K$9-18,-$J$10-SUM($L$34:$L$51))))))+IF(AND($D$8=Variables!$B$4,'Sim Reg N° 800'!$D$15="SI"),PPMT($D$18,B302-24,$K$9-24,-$J$10-SUM($M$34:$M$57))))</f>
        <v>430.89176761505843</v>
      </c>
      <c r="E302" s="14">
        <f>IF(B302&gt;$K$9,"",IF($D$8=Variables!$B$3,IPMT($D$18,B302,$K$9,-$J$10),IF($D$8=Variables!$B$6,IPMT($D$18,B302,$K$9,-$J$10),IF($D$8=Variables!$B$5,IPMT($D$18,B302-12,$K$9-12,-$C$45),IF(AND($D$8=Variables!$B$4,$D$15="si"),0,IPMT($D$18,B302-18,$K$9-18,-$J$10-SUM($L$34:$L$51))))))+IF(AND($D$8=Variables!$B$4,'Sim Reg N° 800'!$D$15="SI"),IPMT($D$18,B302-24,$K$9-24,-$J$10-SUM($M$34:$M$57))))</f>
        <v>177.13060417599843</v>
      </c>
      <c r="F302" s="14">
        <f>IF(B302&gt;$K$9,"",IF(AND($D$8=Variables!$B$3,$D$12="SI",$D$19="NO",$D$13="SI",B302&gt;=7),(PMT(0.06/12,$K$9,-$C$33)-PMT(0.045/12,$K$9,-$C$33)),IF(AND($D$8=Variables!$B$5,$D$19="NO",$D$12="SI",$D$13="SI",B302&gt;12),(PMT(0.06/12,$K$9,-$C$45)-PMT(0.045/12,$K$9,-$C$45)),IF(AND($D$8=Variables!$B$4,$D$12="SI",$D$19="NO",$D$13="SI",$D$15="NO",B302&gt;18),(PMT(0.06/12,$K$9,-$C$51)-PMT(0.045/12,$K$9,-$C$51)),IF(AND($D$8=Variables!$B$4,$D$12="SI",$D$19="NO",$D$13="SI",$D$15="SI",B302&gt;24),(PMT(0.06/12,$K$9,-$C$57)-PMT(0.045/12,$K$9,-$C$57)),0)))))</f>
        <v>111.43825839224587</v>
      </c>
      <c r="G302" s="14">
        <f>+IF(B302&gt;$K$9,"",IF($D$8=Variables!$B$6,0.21*IPMT('Sim Reg N° 800'!$D$18,'Sim Reg N° 800'!B302,'Sim Reg N° 800'!$K$9,-'Sim Reg N° 800'!$J$10),0))+F302*0.21</f>
        <v>23.402034262371632</v>
      </c>
      <c r="H302" s="14">
        <f t="shared" si="26"/>
        <v>742.86266444567434</v>
      </c>
      <c r="I302" s="14">
        <f t="shared" si="24"/>
        <v>0</v>
      </c>
      <c r="J302" s="14">
        <f t="shared" si="25"/>
        <v>742.86266444567434</v>
      </c>
      <c r="K302" s="26">
        <f t="shared" si="27"/>
        <v>222.85879933370231</v>
      </c>
      <c r="L302" s="21"/>
      <c r="M302" s="19"/>
      <c r="R302" s="20"/>
    </row>
    <row r="303" spans="1:18" hidden="1" x14ac:dyDescent="0.2">
      <c r="A303" s="7"/>
      <c r="B303" s="42">
        <v>270</v>
      </c>
      <c r="C303" s="14">
        <f t="shared" si="23"/>
        <v>46371.428400907535</v>
      </c>
      <c r="D303" s="14">
        <f>IF(B303&gt;$K$9,"",IF($D$8=Variables!$B$3,PPMT($D$18,B303,$K$9,-$J$10),IF($D$8=Variables!$B$6,PPMT($D$18,B303,$K$9,-$J$10),IF($D$8=Variables!$B$5,PPMT($D$18,B303-12,$K$9-12,-$C$45),IF(AND($D$8=Variables!$B$4,$D$15="si"),0,PPMT($D$18,B303-18,$K$9-18,-$J$10-SUM($L$34:$L$51))))))+IF(AND($D$8=Variables!$B$4,'Sim Reg N° 800'!$D$15="SI"),PPMT($D$18,B303-24,$K$9-24,-$J$10-SUM($M$34:$M$57))))</f>
        <v>432.50761174361492</v>
      </c>
      <c r="E303" s="14">
        <f>IF(B303&gt;$K$9,"",IF($D$8=Variables!$B$3,IPMT($D$18,B303,$K$9,-$J$10),IF($D$8=Variables!$B$6,IPMT($D$18,B303,$K$9,-$J$10),IF($D$8=Variables!$B$5,IPMT($D$18,B303-12,$K$9-12,-$C$45),IF(AND($D$8=Variables!$B$4,$D$15="si"),0,IPMT($D$18,B303-18,$K$9-18,-$J$10-SUM($L$34:$L$51))))))+IF(AND($D$8=Variables!$B$4,'Sim Reg N° 800'!$D$15="SI"),IPMT($D$18,B303-24,$K$9-24,-$J$10-SUM($M$34:$M$57))))</f>
        <v>175.51476004744194</v>
      </c>
      <c r="F303" s="14">
        <f>IF(B303&gt;$K$9,"",IF(AND($D$8=Variables!$B$3,$D$12="SI",$D$19="NO",$D$13="SI",B303&gt;=7),(PMT(0.06/12,$K$9,-$C$33)-PMT(0.045/12,$K$9,-$C$33)),IF(AND($D$8=Variables!$B$5,$D$19="NO",$D$12="SI",$D$13="SI",B303&gt;12),(PMT(0.06/12,$K$9,-$C$45)-PMT(0.045/12,$K$9,-$C$45)),IF(AND($D$8=Variables!$B$4,$D$12="SI",$D$19="NO",$D$13="SI",$D$15="NO",B303&gt;18),(PMT(0.06/12,$K$9,-$C$51)-PMT(0.045/12,$K$9,-$C$51)),IF(AND($D$8=Variables!$B$4,$D$12="SI",$D$19="NO",$D$13="SI",$D$15="SI",B303&gt;24),(PMT(0.06/12,$K$9,-$C$57)-PMT(0.045/12,$K$9,-$C$57)),0)))))</f>
        <v>111.43825839224587</v>
      </c>
      <c r="G303" s="14">
        <f>+IF(B303&gt;$K$9,"",IF($D$8=Variables!$B$6,0.21*IPMT('Sim Reg N° 800'!$D$18,'Sim Reg N° 800'!B303,'Sim Reg N° 800'!$K$9,-'Sim Reg N° 800'!$J$10),0))+F303*0.21</f>
        <v>23.402034262371632</v>
      </c>
      <c r="H303" s="14">
        <f t="shared" si="26"/>
        <v>742.86266444567434</v>
      </c>
      <c r="I303" s="14">
        <f t="shared" si="24"/>
        <v>0</v>
      </c>
      <c r="J303" s="14">
        <f t="shared" si="25"/>
        <v>742.86266444567434</v>
      </c>
      <c r="K303" s="26">
        <f t="shared" si="27"/>
        <v>222.85879933370231</v>
      </c>
      <c r="L303" s="21"/>
      <c r="M303" s="19"/>
      <c r="R303" s="20"/>
    </row>
    <row r="304" spans="1:18" hidden="1" x14ac:dyDescent="0.2">
      <c r="A304" s="7"/>
      <c r="B304" s="42">
        <v>271</v>
      </c>
      <c r="C304" s="14">
        <f t="shared" si="23"/>
        <v>45937.298885619879</v>
      </c>
      <c r="D304" s="14">
        <f>IF(B304&gt;$K$9,"",IF($D$8=Variables!$B$3,PPMT($D$18,B304,$K$9,-$J$10),IF($D$8=Variables!$B$6,PPMT($D$18,B304,$K$9,-$J$10),IF($D$8=Variables!$B$5,PPMT($D$18,B304-12,$K$9-12,-$C$45),IF(AND($D$8=Variables!$B$4,$D$15="si"),0,PPMT($D$18,B304-18,$K$9-18,-$J$10-SUM($L$34:$L$51))))))+IF(AND($D$8=Variables!$B$4,'Sim Reg N° 800'!$D$15="SI"),PPMT($D$18,B304-24,$K$9-24,-$J$10-SUM($M$34:$M$57))))</f>
        <v>434.12951528765342</v>
      </c>
      <c r="E304" s="14">
        <f>IF(B304&gt;$K$9,"",IF($D$8=Variables!$B$3,IPMT($D$18,B304,$K$9,-$J$10),IF($D$8=Variables!$B$6,IPMT($D$18,B304,$K$9,-$J$10),IF($D$8=Variables!$B$5,IPMT($D$18,B304-12,$K$9-12,-$C$45),IF(AND($D$8=Variables!$B$4,$D$15="si"),0,IPMT($D$18,B304-18,$K$9-18,-$J$10-SUM($L$34:$L$51))))))+IF(AND($D$8=Variables!$B$4,'Sim Reg N° 800'!$D$15="SI"),IPMT($D$18,B304-24,$K$9-24,-$J$10-SUM($M$34:$M$57))))</f>
        <v>173.89285650340338</v>
      </c>
      <c r="F304" s="14">
        <f>IF(B304&gt;$K$9,"",IF(AND($D$8=Variables!$B$3,$D$12="SI",$D$19="NO",$D$13="SI",B304&gt;=7),(PMT(0.06/12,$K$9,-$C$33)-PMT(0.045/12,$K$9,-$C$33)),IF(AND($D$8=Variables!$B$5,$D$19="NO",$D$12="SI",$D$13="SI",B304&gt;12),(PMT(0.06/12,$K$9,-$C$45)-PMT(0.045/12,$K$9,-$C$45)),IF(AND($D$8=Variables!$B$4,$D$12="SI",$D$19="NO",$D$13="SI",$D$15="NO",B304&gt;18),(PMT(0.06/12,$K$9,-$C$51)-PMT(0.045/12,$K$9,-$C$51)),IF(AND($D$8=Variables!$B$4,$D$12="SI",$D$19="NO",$D$13="SI",$D$15="SI",B304&gt;24),(PMT(0.06/12,$K$9,-$C$57)-PMT(0.045/12,$K$9,-$C$57)),0)))))</f>
        <v>111.43825839224587</v>
      </c>
      <c r="G304" s="14">
        <f>+IF(B304&gt;$K$9,"",IF($D$8=Variables!$B$6,0.21*IPMT('Sim Reg N° 800'!$D$18,'Sim Reg N° 800'!B304,'Sim Reg N° 800'!$K$9,-'Sim Reg N° 800'!$J$10),0))+F304*0.21</f>
        <v>23.402034262371632</v>
      </c>
      <c r="H304" s="14">
        <f t="shared" si="26"/>
        <v>742.86266444567434</v>
      </c>
      <c r="I304" s="14">
        <f t="shared" si="24"/>
        <v>0</v>
      </c>
      <c r="J304" s="14">
        <f t="shared" si="25"/>
        <v>742.86266444567434</v>
      </c>
      <c r="K304" s="26">
        <f t="shared" si="27"/>
        <v>222.85879933370231</v>
      </c>
      <c r="L304" s="21"/>
      <c r="M304" s="19"/>
      <c r="R304" s="20"/>
    </row>
    <row r="305" spans="1:18" hidden="1" x14ac:dyDescent="0.2">
      <c r="A305" s="7"/>
      <c r="B305" s="42">
        <v>272</v>
      </c>
      <c r="C305" s="14">
        <f t="shared" si="23"/>
        <v>45501.5413846499</v>
      </c>
      <c r="D305" s="14">
        <f>IF(B305&gt;$K$9,"",IF($D$8=Variables!$B$3,PPMT($D$18,B305,$K$9,-$J$10),IF($D$8=Variables!$B$6,PPMT($D$18,B305,$K$9,-$J$10),IF($D$8=Variables!$B$5,PPMT($D$18,B305-12,$K$9-12,-$C$45),IF(AND($D$8=Variables!$B$4,$D$15="si"),0,PPMT($D$18,B305-18,$K$9-18,-$J$10-SUM($L$34:$L$51))))))+IF(AND($D$8=Variables!$B$4,'Sim Reg N° 800'!$D$15="SI"),PPMT($D$18,B305-24,$K$9-24,-$J$10-SUM($M$34:$M$57))))</f>
        <v>435.75750096998212</v>
      </c>
      <c r="E305" s="14">
        <f>IF(B305&gt;$K$9,"",IF($D$8=Variables!$B$3,IPMT($D$18,B305,$K$9,-$J$10),IF($D$8=Variables!$B$6,IPMT($D$18,B305,$K$9,-$J$10),IF($D$8=Variables!$B$5,IPMT($D$18,B305-12,$K$9-12,-$C$45),IF(AND($D$8=Variables!$B$4,$D$15="si"),0,IPMT($D$18,B305-18,$K$9-18,-$J$10-SUM($L$34:$L$51))))))+IF(AND($D$8=Variables!$B$4,'Sim Reg N° 800'!$D$15="SI"),IPMT($D$18,B305-24,$K$9-24,-$J$10-SUM($M$34:$M$57))))</f>
        <v>172.26487082107471</v>
      </c>
      <c r="F305" s="14">
        <f>IF(B305&gt;$K$9,"",IF(AND($D$8=Variables!$B$3,$D$12="SI",$D$19="NO",$D$13="SI",B305&gt;=7),(PMT(0.06/12,$K$9,-$C$33)-PMT(0.045/12,$K$9,-$C$33)),IF(AND($D$8=Variables!$B$5,$D$19="NO",$D$12="SI",$D$13="SI",B305&gt;12),(PMT(0.06/12,$K$9,-$C$45)-PMT(0.045/12,$K$9,-$C$45)),IF(AND($D$8=Variables!$B$4,$D$12="SI",$D$19="NO",$D$13="SI",$D$15="NO",B305&gt;18),(PMT(0.06/12,$K$9,-$C$51)-PMT(0.045/12,$K$9,-$C$51)),IF(AND($D$8=Variables!$B$4,$D$12="SI",$D$19="NO",$D$13="SI",$D$15="SI",B305&gt;24),(PMT(0.06/12,$K$9,-$C$57)-PMT(0.045/12,$K$9,-$C$57)),0)))))</f>
        <v>111.43825839224587</v>
      </c>
      <c r="G305" s="14">
        <f>+IF(B305&gt;$K$9,"",IF($D$8=Variables!$B$6,0.21*IPMT('Sim Reg N° 800'!$D$18,'Sim Reg N° 800'!B305,'Sim Reg N° 800'!$K$9,-'Sim Reg N° 800'!$J$10),0))+F305*0.21</f>
        <v>23.402034262371632</v>
      </c>
      <c r="H305" s="14">
        <f t="shared" si="26"/>
        <v>742.86266444567434</v>
      </c>
      <c r="I305" s="14">
        <f t="shared" si="24"/>
        <v>0</v>
      </c>
      <c r="J305" s="14">
        <f t="shared" si="25"/>
        <v>742.86266444567434</v>
      </c>
      <c r="K305" s="26">
        <f t="shared" si="27"/>
        <v>222.85879933370231</v>
      </c>
      <c r="L305" s="21"/>
      <c r="M305" s="19"/>
      <c r="R305" s="20"/>
    </row>
    <row r="306" spans="1:18" hidden="1" x14ac:dyDescent="0.2">
      <c r="A306" s="7"/>
      <c r="B306" s="42">
        <v>273</v>
      </c>
      <c r="C306" s="14">
        <f t="shared" si="23"/>
        <v>45064.149793051278</v>
      </c>
      <c r="D306" s="14">
        <f>IF(B306&gt;$K$9,"",IF($D$8=Variables!$B$3,PPMT($D$18,B306,$K$9,-$J$10),IF($D$8=Variables!$B$6,PPMT($D$18,B306,$K$9,-$J$10),IF($D$8=Variables!$B$5,PPMT($D$18,B306-12,$K$9-12,-$C$45),IF(AND($D$8=Variables!$B$4,$D$15="si"),0,PPMT($D$18,B306-18,$K$9-18,-$J$10-SUM($L$34:$L$51))))))+IF(AND($D$8=Variables!$B$4,'Sim Reg N° 800'!$D$15="SI"),PPMT($D$18,B306-24,$K$9-24,-$J$10-SUM($M$34:$M$57))))</f>
        <v>437.39159159861958</v>
      </c>
      <c r="E306" s="14">
        <f>IF(B306&gt;$K$9,"",IF($D$8=Variables!$B$3,IPMT($D$18,B306,$K$9,-$J$10),IF($D$8=Variables!$B$6,IPMT($D$18,B306,$K$9,-$J$10),IF($D$8=Variables!$B$5,IPMT($D$18,B306-12,$K$9-12,-$C$45),IF(AND($D$8=Variables!$B$4,$D$15="si"),0,IPMT($D$18,B306-18,$K$9-18,-$J$10-SUM($L$34:$L$51))))))+IF(AND($D$8=Variables!$B$4,'Sim Reg N° 800'!$D$15="SI"),IPMT($D$18,B306-24,$K$9-24,-$J$10-SUM($M$34:$M$57))))</f>
        <v>170.63078019243724</v>
      </c>
      <c r="F306" s="14">
        <f>IF(B306&gt;$K$9,"",IF(AND($D$8=Variables!$B$3,$D$12="SI",$D$19="NO",$D$13="SI",B306&gt;=7),(PMT(0.06/12,$K$9,-$C$33)-PMT(0.045/12,$K$9,-$C$33)),IF(AND($D$8=Variables!$B$5,$D$19="NO",$D$12="SI",$D$13="SI",B306&gt;12),(PMT(0.06/12,$K$9,-$C$45)-PMT(0.045/12,$K$9,-$C$45)),IF(AND($D$8=Variables!$B$4,$D$12="SI",$D$19="NO",$D$13="SI",$D$15="NO",B306&gt;18),(PMT(0.06/12,$K$9,-$C$51)-PMT(0.045/12,$K$9,-$C$51)),IF(AND($D$8=Variables!$B$4,$D$12="SI",$D$19="NO",$D$13="SI",$D$15="SI",B306&gt;24),(PMT(0.06/12,$K$9,-$C$57)-PMT(0.045/12,$K$9,-$C$57)),0)))))</f>
        <v>111.43825839224587</v>
      </c>
      <c r="G306" s="14">
        <f>+IF(B306&gt;$K$9,"",IF($D$8=Variables!$B$6,0.21*IPMT('Sim Reg N° 800'!$D$18,'Sim Reg N° 800'!B306,'Sim Reg N° 800'!$K$9,-'Sim Reg N° 800'!$J$10),0))+F306*0.21</f>
        <v>23.402034262371632</v>
      </c>
      <c r="H306" s="14">
        <f t="shared" si="26"/>
        <v>742.86266444567434</v>
      </c>
      <c r="I306" s="14">
        <f t="shared" si="24"/>
        <v>0</v>
      </c>
      <c r="J306" s="14">
        <f t="shared" si="25"/>
        <v>742.86266444567434</v>
      </c>
      <c r="K306" s="26">
        <f t="shared" si="27"/>
        <v>222.85879933370231</v>
      </c>
      <c r="L306" s="21"/>
      <c r="M306" s="19"/>
      <c r="R306" s="20"/>
    </row>
    <row r="307" spans="1:18" hidden="1" x14ac:dyDescent="0.2">
      <c r="A307" s="7"/>
      <c r="B307" s="42">
        <v>274</v>
      </c>
      <c r="C307" s="14">
        <f t="shared" si="23"/>
        <v>44625.117982984164</v>
      </c>
      <c r="D307" s="14">
        <f>IF(B307&gt;$K$9,"",IF($D$8=Variables!$B$3,PPMT($D$18,B307,$K$9,-$J$10),IF($D$8=Variables!$B$6,PPMT($D$18,B307,$K$9,-$J$10),IF($D$8=Variables!$B$5,PPMT($D$18,B307-12,$K$9-12,-$C$45),IF(AND($D$8=Variables!$B$4,$D$15="si"),0,PPMT($D$18,B307-18,$K$9-18,-$J$10-SUM($L$34:$L$51))))))+IF(AND($D$8=Variables!$B$4,'Sim Reg N° 800'!$D$15="SI"),PPMT($D$18,B307-24,$K$9-24,-$J$10-SUM($M$34:$M$57))))</f>
        <v>439.03181006711441</v>
      </c>
      <c r="E307" s="14">
        <f>IF(B307&gt;$K$9,"",IF($D$8=Variables!$B$3,IPMT($D$18,B307,$K$9,-$J$10),IF($D$8=Variables!$B$6,IPMT($D$18,B307,$K$9,-$J$10),IF($D$8=Variables!$B$5,IPMT($D$18,B307-12,$K$9-12,-$C$45),IF(AND($D$8=Variables!$B$4,$D$15="si"),0,IPMT($D$18,B307-18,$K$9-18,-$J$10-SUM($L$34:$L$51))))))+IF(AND($D$8=Variables!$B$4,'Sim Reg N° 800'!$D$15="SI"),IPMT($D$18,B307-24,$K$9-24,-$J$10-SUM($M$34:$M$57))))</f>
        <v>168.99056172394245</v>
      </c>
      <c r="F307" s="14">
        <f>IF(B307&gt;$K$9,"",IF(AND($D$8=Variables!$B$3,$D$12="SI",$D$19="NO",$D$13="SI",B307&gt;=7),(PMT(0.06/12,$K$9,-$C$33)-PMT(0.045/12,$K$9,-$C$33)),IF(AND($D$8=Variables!$B$5,$D$19="NO",$D$12="SI",$D$13="SI",B307&gt;12),(PMT(0.06/12,$K$9,-$C$45)-PMT(0.045/12,$K$9,-$C$45)),IF(AND($D$8=Variables!$B$4,$D$12="SI",$D$19="NO",$D$13="SI",$D$15="NO",B307&gt;18),(PMT(0.06/12,$K$9,-$C$51)-PMT(0.045/12,$K$9,-$C$51)),IF(AND($D$8=Variables!$B$4,$D$12="SI",$D$19="NO",$D$13="SI",$D$15="SI",B307&gt;24),(PMT(0.06/12,$K$9,-$C$57)-PMT(0.045/12,$K$9,-$C$57)),0)))))</f>
        <v>111.43825839224587</v>
      </c>
      <c r="G307" s="14">
        <f>+IF(B307&gt;$K$9,"",IF($D$8=Variables!$B$6,0.21*IPMT('Sim Reg N° 800'!$D$18,'Sim Reg N° 800'!B307,'Sim Reg N° 800'!$K$9,-'Sim Reg N° 800'!$J$10),0))+F307*0.21</f>
        <v>23.402034262371632</v>
      </c>
      <c r="H307" s="14">
        <f t="shared" si="26"/>
        <v>742.86266444567434</v>
      </c>
      <c r="I307" s="14">
        <f t="shared" si="24"/>
        <v>0</v>
      </c>
      <c r="J307" s="14">
        <f t="shared" si="25"/>
        <v>742.86266444567434</v>
      </c>
      <c r="K307" s="26">
        <f t="shared" si="27"/>
        <v>222.85879933370231</v>
      </c>
      <c r="L307" s="21"/>
      <c r="M307" s="19"/>
      <c r="R307" s="20"/>
    </row>
    <row r="308" spans="1:18" hidden="1" x14ac:dyDescent="0.2">
      <c r="A308" s="7"/>
      <c r="B308" s="42">
        <v>275</v>
      </c>
      <c r="C308" s="14">
        <f t="shared" si="23"/>
        <v>44184.439803629299</v>
      </c>
      <c r="D308" s="14">
        <f>IF(B308&gt;$K$9,"",IF($D$8=Variables!$B$3,PPMT($D$18,B308,$K$9,-$J$10),IF($D$8=Variables!$B$6,PPMT($D$18,B308,$K$9,-$J$10),IF($D$8=Variables!$B$5,PPMT($D$18,B308-12,$K$9-12,-$C$45),IF(AND($D$8=Variables!$B$4,$D$15="si"),0,PPMT($D$18,B308-18,$K$9-18,-$J$10-SUM($L$34:$L$51))))))+IF(AND($D$8=Variables!$B$4,'Sim Reg N° 800'!$D$15="SI"),PPMT($D$18,B308-24,$K$9-24,-$J$10-SUM($M$34:$M$57))))</f>
        <v>440.67817935486607</v>
      </c>
      <c r="E308" s="14">
        <f>IF(B308&gt;$K$9,"",IF($D$8=Variables!$B$3,IPMT($D$18,B308,$K$9,-$J$10),IF($D$8=Variables!$B$6,IPMT($D$18,B308,$K$9,-$J$10),IF($D$8=Variables!$B$5,IPMT($D$18,B308-12,$K$9-12,-$C$45),IF(AND($D$8=Variables!$B$4,$D$15="si"),0,IPMT($D$18,B308-18,$K$9-18,-$J$10-SUM($L$34:$L$51))))))+IF(AND($D$8=Variables!$B$4,'Sim Reg N° 800'!$D$15="SI"),IPMT($D$18,B308-24,$K$9-24,-$J$10-SUM($M$34:$M$57))))</f>
        <v>167.34419243619078</v>
      </c>
      <c r="F308" s="14">
        <f>IF(B308&gt;$K$9,"",IF(AND($D$8=Variables!$B$3,$D$12="SI",$D$19="NO",$D$13="SI",B308&gt;=7),(PMT(0.06/12,$K$9,-$C$33)-PMT(0.045/12,$K$9,-$C$33)),IF(AND($D$8=Variables!$B$5,$D$19="NO",$D$12="SI",$D$13="SI",B308&gt;12),(PMT(0.06/12,$K$9,-$C$45)-PMT(0.045/12,$K$9,-$C$45)),IF(AND($D$8=Variables!$B$4,$D$12="SI",$D$19="NO",$D$13="SI",$D$15="NO",B308&gt;18),(PMT(0.06/12,$K$9,-$C$51)-PMT(0.045/12,$K$9,-$C$51)),IF(AND($D$8=Variables!$B$4,$D$12="SI",$D$19="NO",$D$13="SI",$D$15="SI",B308&gt;24),(PMT(0.06/12,$K$9,-$C$57)-PMT(0.045/12,$K$9,-$C$57)),0)))))</f>
        <v>111.43825839224587</v>
      </c>
      <c r="G308" s="14">
        <f>+IF(B308&gt;$K$9,"",IF($D$8=Variables!$B$6,0.21*IPMT('Sim Reg N° 800'!$D$18,'Sim Reg N° 800'!B308,'Sim Reg N° 800'!$K$9,-'Sim Reg N° 800'!$J$10),0))+F308*0.21</f>
        <v>23.402034262371632</v>
      </c>
      <c r="H308" s="14">
        <f t="shared" si="26"/>
        <v>742.86266444567434</v>
      </c>
      <c r="I308" s="14">
        <f t="shared" si="24"/>
        <v>0</v>
      </c>
      <c r="J308" s="14">
        <f t="shared" si="25"/>
        <v>742.86266444567434</v>
      </c>
      <c r="K308" s="26">
        <f t="shared" si="27"/>
        <v>222.85879933370231</v>
      </c>
      <c r="L308" s="21"/>
      <c r="M308" s="19"/>
      <c r="R308" s="20"/>
    </row>
    <row r="309" spans="1:18" hidden="1" x14ac:dyDescent="0.2">
      <c r="A309" s="7"/>
      <c r="B309" s="42">
        <v>276</v>
      </c>
      <c r="C309" s="14">
        <f t="shared" si="23"/>
        <v>43742.109081101851</v>
      </c>
      <c r="D309" s="14">
        <f>IF(B309&gt;$K$9,"",IF($D$8=Variables!$B$3,PPMT($D$18,B309,$K$9,-$J$10),IF($D$8=Variables!$B$6,PPMT($D$18,B309,$K$9,-$J$10),IF($D$8=Variables!$B$5,PPMT($D$18,B309-12,$K$9-12,-$C$45),IF(AND($D$8=Variables!$B$4,$D$15="si"),0,PPMT($D$18,B309-18,$K$9-18,-$J$10-SUM($L$34:$L$51))))))+IF(AND($D$8=Variables!$B$4,'Sim Reg N° 800'!$D$15="SI"),PPMT($D$18,B309-24,$K$9-24,-$J$10-SUM($M$34:$M$57))))</f>
        <v>442.33072252744688</v>
      </c>
      <c r="E309" s="14">
        <f>IF(B309&gt;$K$9,"",IF($D$8=Variables!$B$3,IPMT($D$18,B309,$K$9,-$J$10),IF($D$8=Variables!$B$6,IPMT($D$18,B309,$K$9,-$J$10),IF($D$8=Variables!$B$5,IPMT($D$18,B309-12,$K$9-12,-$C$45),IF(AND($D$8=Variables!$B$4,$D$15="si"),0,IPMT($D$18,B309-18,$K$9-18,-$J$10-SUM($L$34:$L$51))))))+IF(AND($D$8=Variables!$B$4,'Sim Reg N° 800'!$D$15="SI"),IPMT($D$18,B309-24,$K$9-24,-$J$10-SUM($M$34:$M$57))))</f>
        <v>165.69164926361003</v>
      </c>
      <c r="F309" s="14">
        <f>IF(B309&gt;$K$9,"",IF(AND($D$8=Variables!$B$3,$D$12="SI",$D$19="NO",$D$13="SI",B309&gt;=7),(PMT(0.06/12,$K$9,-$C$33)-PMT(0.045/12,$K$9,-$C$33)),IF(AND($D$8=Variables!$B$5,$D$19="NO",$D$12="SI",$D$13="SI",B309&gt;12),(PMT(0.06/12,$K$9,-$C$45)-PMT(0.045/12,$K$9,-$C$45)),IF(AND($D$8=Variables!$B$4,$D$12="SI",$D$19="NO",$D$13="SI",$D$15="NO",B309&gt;18),(PMT(0.06/12,$K$9,-$C$51)-PMT(0.045/12,$K$9,-$C$51)),IF(AND($D$8=Variables!$B$4,$D$12="SI",$D$19="NO",$D$13="SI",$D$15="SI",B309&gt;24),(PMT(0.06/12,$K$9,-$C$57)-PMT(0.045/12,$K$9,-$C$57)),0)))))</f>
        <v>111.43825839224587</v>
      </c>
      <c r="G309" s="14">
        <f>+IF(B309&gt;$K$9,"",IF($D$8=Variables!$B$6,0.21*IPMT('Sim Reg N° 800'!$D$18,'Sim Reg N° 800'!B309,'Sim Reg N° 800'!$K$9,-'Sim Reg N° 800'!$J$10),0))+F309*0.21</f>
        <v>23.402034262371632</v>
      </c>
      <c r="H309" s="14">
        <f t="shared" si="26"/>
        <v>742.86266444567445</v>
      </c>
      <c r="I309" s="14">
        <f t="shared" si="24"/>
        <v>0</v>
      </c>
      <c r="J309" s="14">
        <f t="shared" si="25"/>
        <v>742.86266444567445</v>
      </c>
      <c r="K309" s="26">
        <f t="shared" si="27"/>
        <v>222.85879933370234</v>
      </c>
      <c r="L309" s="21"/>
      <c r="M309" s="19"/>
      <c r="R309" s="20"/>
    </row>
    <row r="310" spans="1:18" hidden="1" x14ac:dyDescent="0.2">
      <c r="A310" s="7"/>
      <c r="B310" s="42">
        <v>277</v>
      </c>
      <c r="C310" s="14">
        <f t="shared" si="23"/>
        <v>43298.11961836493</v>
      </c>
      <c r="D310" s="14">
        <f>IF(B310&gt;$K$9,"",IF($D$8=Variables!$B$3,PPMT($D$18,B310,$K$9,-$J$10),IF($D$8=Variables!$B$6,PPMT($D$18,B310,$K$9,-$J$10),IF($D$8=Variables!$B$5,PPMT($D$18,B310-12,$K$9-12,-$C$45),IF(AND($D$8=Variables!$B$4,$D$15="si"),0,PPMT($D$18,B310-18,$K$9-18,-$J$10-SUM($L$34:$L$51))))))+IF(AND($D$8=Variables!$B$4,'Sim Reg N° 800'!$D$15="SI"),PPMT($D$18,B310-24,$K$9-24,-$J$10-SUM($M$34:$M$57))))</f>
        <v>443.98946273692474</v>
      </c>
      <c r="E310" s="14">
        <f>IF(B310&gt;$K$9,"",IF($D$8=Variables!$B$3,IPMT($D$18,B310,$K$9,-$J$10),IF($D$8=Variables!$B$6,IPMT($D$18,B310,$K$9,-$J$10),IF($D$8=Variables!$B$5,IPMT($D$18,B310-12,$K$9-12,-$C$45),IF(AND($D$8=Variables!$B$4,$D$15="si"),0,IPMT($D$18,B310-18,$K$9-18,-$J$10-SUM($L$34:$L$51))))))+IF(AND($D$8=Variables!$B$4,'Sim Reg N° 800'!$D$15="SI"),IPMT($D$18,B310-24,$K$9-24,-$J$10-SUM($M$34:$M$57))))</f>
        <v>164.03290905413209</v>
      </c>
      <c r="F310" s="14">
        <f>IF(B310&gt;$K$9,"",IF(AND($D$8=Variables!$B$3,$D$12="SI",$D$19="NO",$D$13="SI",B310&gt;=7),(PMT(0.06/12,$K$9,-$C$33)-PMT(0.045/12,$K$9,-$C$33)),IF(AND($D$8=Variables!$B$5,$D$19="NO",$D$12="SI",$D$13="SI",B310&gt;12),(PMT(0.06/12,$K$9,-$C$45)-PMT(0.045/12,$K$9,-$C$45)),IF(AND($D$8=Variables!$B$4,$D$12="SI",$D$19="NO",$D$13="SI",$D$15="NO",B310&gt;18),(PMT(0.06/12,$K$9,-$C$51)-PMT(0.045/12,$K$9,-$C$51)),IF(AND($D$8=Variables!$B$4,$D$12="SI",$D$19="NO",$D$13="SI",$D$15="SI",B310&gt;24),(PMT(0.06/12,$K$9,-$C$57)-PMT(0.045/12,$K$9,-$C$57)),0)))))</f>
        <v>111.43825839224587</v>
      </c>
      <c r="G310" s="14">
        <f>+IF(B310&gt;$K$9,"",IF($D$8=Variables!$B$6,0.21*IPMT('Sim Reg N° 800'!$D$18,'Sim Reg N° 800'!B310,'Sim Reg N° 800'!$K$9,-'Sim Reg N° 800'!$J$10),0))+F310*0.21</f>
        <v>23.402034262371632</v>
      </c>
      <c r="H310" s="14">
        <f t="shared" si="26"/>
        <v>742.86266444567434</v>
      </c>
      <c r="I310" s="14">
        <f t="shared" si="24"/>
        <v>95.999999999999986</v>
      </c>
      <c r="J310" s="14">
        <f t="shared" si="25"/>
        <v>838.86266444567434</v>
      </c>
      <c r="K310" s="26">
        <f t="shared" si="27"/>
        <v>251.65879933370229</v>
      </c>
      <c r="L310" s="21"/>
      <c r="M310" s="19"/>
      <c r="R310" s="20"/>
    </row>
    <row r="311" spans="1:18" hidden="1" x14ac:dyDescent="0.2">
      <c r="A311" s="7"/>
      <c r="B311" s="42">
        <v>278</v>
      </c>
      <c r="C311" s="14">
        <f t="shared" si="23"/>
        <v>42852.465195142744</v>
      </c>
      <c r="D311" s="14">
        <f>IF(B311&gt;$K$9,"",IF($D$8=Variables!$B$3,PPMT($D$18,B311,$K$9,-$J$10),IF($D$8=Variables!$B$6,PPMT($D$18,B311,$K$9,-$J$10),IF($D$8=Variables!$B$5,PPMT($D$18,B311-12,$K$9-12,-$C$45),IF(AND($D$8=Variables!$B$4,$D$15="si"),0,PPMT($D$18,B311-18,$K$9-18,-$J$10-SUM($L$34:$L$51))))))+IF(AND($D$8=Variables!$B$4,'Sim Reg N° 800'!$D$15="SI"),PPMT($D$18,B311-24,$K$9-24,-$J$10-SUM($M$34:$M$57))))</f>
        <v>445.65442322218826</v>
      </c>
      <c r="E311" s="14">
        <f>IF(B311&gt;$K$9,"",IF($D$8=Variables!$B$3,IPMT($D$18,B311,$K$9,-$J$10),IF($D$8=Variables!$B$6,IPMT($D$18,B311,$K$9,-$J$10),IF($D$8=Variables!$B$5,IPMT($D$18,B311-12,$K$9-12,-$C$45),IF(AND($D$8=Variables!$B$4,$D$15="si"),0,IPMT($D$18,B311-18,$K$9-18,-$J$10-SUM($L$34:$L$51))))))+IF(AND($D$8=Variables!$B$4,'Sim Reg N° 800'!$D$15="SI"),IPMT($D$18,B311-24,$K$9-24,-$J$10-SUM($M$34:$M$57))))</f>
        <v>162.36794856886863</v>
      </c>
      <c r="F311" s="14">
        <f>IF(B311&gt;$K$9,"",IF(AND($D$8=Variables!$B$3,$D$12="SI",$D$19="NO",$D$13="SI",B311&gt;=7),(PMT(0.06/12,$K$9,-$C$33)-PMT(0.045/12,$K$9,-$C$33)),IF(AND($D$8=Variables!$B$5,$D$19="NO",$D$12="SI",$D$13="SI",B311&gt;12),(PMT(0.06/12,$K$9,-$C$45)-PMT(0.045/12,$K$9,-$C$45)),IF(AND($D$8=Variables!$B$4,$D$12="SI",$D$19="NO",$D$13="SI",$D$15="NO",B311&gt;18),(PMT(0.06/12,$K$9,-$C$51)-PMT(0.045/12,$K$9,-$C$51)),IF(AND($D$8=Variables!$B$4,$D$12="SI",$D$19="NO",$D$13="SI",$D$15="SI",B311&gt;24),(PMT(0.06/12,$K$9,-$C$57)-PMT(0.045/12,$K$9,-$C$57)),0)))))</f>
        <v>111.43825839224587</v>
      </c>
      <c r="G311" s="14">
        <f>+IF(B311&gt;$K$9,"",IF($D$8=Variables!$B$6,0.21*IPMT('Sim Reg N° 800'!$D$18,'Sim Reg N° 800'!B311,'Sim Reg N° 800'!$K$9,-'Sim Reg N° 800'!$J$10),0))+F311*0.21</f>
        <v>23.402034262371632</v>
      </c>
      <c r="H311" s="14">
        <f t="shared" si="26"/>
        <v>742.86266444567445</v>
      </c>
      <c r="I311" s="14">
        <f t="shared" si="24"/>
        <v>0</v>
      </c>
      <c r="J311" s="14">
        <f t="shared" si="25"/>
        <v>742.86266444567445</v>
      </c>
      <c r="K311" s="26">
        <f t="shared" si="27"/>
        <v>222.85879933370234</v>
      </c>
      <c r="L311" s="21"/>
      <c r="M311" s="19"/>
      <c r="R311" s="20"/>
    </row>
    <row r="312" spans="1:18" hidden="1" x14ac:dyDescent="0.2">
      <c r="A312" s="7"/>
      <c r="B312" s="42">
        <v>279</v>
      </c>
      <c r="C312" s="14">
        <f t="shared" si="23"/>
        <v>42405.139567833474</v>
      </c>
      <c r="D312" s="14">
        <f>IF(B312&gt;$K$9,"",IF($D$8=Variables!$B$3,PPMT($D$18,B312,$K$9,-$J$10),IF($D$8=Variables!$B$6,PPMT($D$18,B312,$K$9,-$J$10),IF($D$8=Variables!$B$5,PPMT($D$18,B312-12,$K$9-12,-$C$45),IF(AND($D$8=Variables!$B$4,$D$15="si"),0,PPMT($D$18,B312-18,$K$9-18,-$J$10-SUM($L$34:$L$51))))))+IF(AND($D$8=Variables!$B$4,'Sim Reg N° 800'!$D$15="SI"),PPMT($D$18,B312-24,$K$9-24,-$J$10-SUM($M$34:$M$57))))</f>
        <v>447.3256273092714</v>
      </c>
      <c r="E312" s="14">
        <f>IF(B312&gt;$K$9,"",IF($D$8=Variables!$B$3,IPMT($D$18,B312,$K$9,-$J$10),IF($D$8=Variables!$B$6,IPMT($D$18,B312,$K$9,-$J$10),IF($D$8=Variables!$B$5,IPMT($D$18,B312-12,$K$9-12,-$C$45),IF(AND($D$8=Variables!$B$4,$D$15="si"),0,IPMT($D$18,B312-18,$K$9-18,-$J$10-SUM($L$34:$L$51))))))+IF(AND($D$8=Variables!$B$4,'Sim Reg N° 800'!$D$15="SI"),IPMT($D$18,B312-24,$K$9-24,-$J$10-SUM($M$34:$M$57))))</f>
        <v>160.69674448178543</v>
      </c>
      <c r="F312" s="14">
        <f>IF(B312&gt;$K$9,"",IF(AND($D$8=Variables!$B$3,$D$12="SI",$D$19="NO",$D$13="SI",B312&gt;=7),(PMT(0.06/12,$K$9,-$C$33)-PMT(0.045/12,$K$9,-$C$33)),IF(AND($D$8=Variables!$B$5,$D$19="NO",$D$12="SI",$D$13="SI",B312&gt;12),(PMT(0.06/12,$K$9,-$C$45)-PMT(0.045/12,$K$9,-$C$45)),IF(AND($D$8=Variables!$B$4,$D$12="SI",$D$19="NO",$D$13="SI",$D$15="NO",B312&gt;18),(PMT(0.06/12,$K$9,-$C$51)-PMT(0.045/12,$K$9,-$C$51)),IF(AND($D$8=Variables!$B$4,$D$12="SI",$D$19="NO",$D$13="SI",$D$15="SI",B312&gt;24),(PMT(0.06/12,$K$9,-$C$57)-PMT(0.045/12,$K$9,-$C$57)),0)))))</f>
        <v>111.43825839224587</v>
      </c>
      <c r="G312" s="14">
        <f>+IF(B312&gt;$K$9,"",IF($D$8=Variables!$B$6,0.21*IPMT('Sim Reg N° 800'!$D$18,'Sim Reg N° 800'!B312,'Sim Reg N° 800'!$K$9,-'Sim Reg N° 800'!$J$10),0))+F312*0.21</f>
        <v>23.402034262371632</v>
      </c>
      <c r="H312" s="14">
        <f t="shared" si="26"/>
        <v>742.86266444567434</v>
      </c>
      <c r="I312" s="14">
        <f t="shared" si="24"/>
        <v>0</v>
      </c>
      <c r="J312" s="14">
        <f t="shared" si="25"/>
        <v>742.86266444567434</v>
      </c>
      <c r="K312" s="26">
        <f t="shared" si="27"/>
        <v>222.85879933370231</v>
      </c>
      <c r="L312" s="21"/>
      <c r="M312" s="19"/>
      <c r="R312" s="20"/>
    </row>
    <row r="313" spans="1:18" hidden="1" x14ac:dyDescent="0.2">
      <c r="A313" s="7"/>
      <c r="B313" s="42">
        <v>280</v>
      </c>
      <c r="C313" s="14">
        <f t="shared" si="23"/>
        <v>41956.136469421792</v>
      </c>
      <c r="D313" s="14">
        <f>IF(B313&gt;$K$9,"",IF($D$8=Variables!$B$3,PPMT($D$18,B313,$K$9,-$J$10),IF($D$8=Variables!$B$6,PPMT($D$18,B313,$K$9,-$J$10),IF($D$8=Variables!$B$5,PPMT($D$18,B313-12,$K$9-12,-$C$45),IF(AND($D$8=Variables!$B$4,$D$15="si"),0,PPMT($D$18,B313-18,$K$9-18,-$J$10-SUM($L$34:$L$51))))))+IF(AND($D$8=Variables!$B$4,'Sim Reg N° 800'!$D$15="SI"),PPMT($D$18,B313-24,$K$9-24,-$J$10-SUM($M$34:$M$57))))</f>
        <v>449.00309841168126</v>
      </c>
      <c r="E313" s="14">
        <f>IF(B313&gt;$K$9,"",IF($D$8=Variables!$B$3,IPMT($D$18,B313,$K$9,-$J$10),IF($D$8=Variables!$B$6,IPMT($D$18,B313,$K$9,-$J$10),IF($D$8=Variables!$B$5,IPMT($D$18,B313-12,$K$9-12,-$C$45),IF(AND($D$8=Variables!$B$4,$D$15="si"),0,IPMT($D$18,B313-18,$K$9-18,-$J$10-SUM($L$34:$L$51))))))+IF(AND($D$8=Variables!$B$4,'Sim Reg N° 800'!$D$15="SI"),IPMT($D$18,B313-24,$K$9-24,-$J$10-SUM($M$34:$M$57))))</f>
        <v>159.01927337937565</v>
      </c>
      <c r="F313" s="14">
        <f>IF(B313&gt;$K$9,"",IF(AND($D$8=Variables!$B$3,$D$12="SI",$D$19="NO",$D$13="SI",B313&gt;=7),(PMT(0.06/12,$K$9,-$C$33)-PMT(0.045/12,$K$9,-$C$33)),IF(AND($D$8=Variables!$B$5,$D$19="NO",$D$12="SI",$D$13="SI",B313&gt;12),(PMT(0.06/12,$K$9,-$C$45)-PMT(0.045/12,$K$9,-$C$45)),IF(AND($D$8=Variables!$B$4,$D$12="SI",$D$19="NO",$D$13="SI",$D$15="NO",B313&gt;18),(PMT(0.06/12,$K$9,-$C$51)-PMT(0.045/12,$K$9,-$C$51)),IF(AND($D$8=Variables!$B$4,$D$12="SI",$D$19="NO",$D$13="SI",$D$15="SI",B313&gt;24),(PMT(0.06/12,$K$9,-$C$57)-PMT(0.045/12,$K$9,-$C$57)),0)))))</f>
        <v>111.43825839224587</v>
      </c>
      <c r="G313" s="14">
        <f>+IF(B313&gt;$K$9,"",IF($D$8=Variables!$B$6,0.21*IPMT('Sim Reg N° 800'!$D$18,'Sim Reg N° 800'!B313,'Sim Reg N° 800'!$K$9,-'Sim Reg N° 800'!$J$10),0))+F313*0.21</f>
        <v>23.402034262371632</v>
      </c>
      <c r="H313" s="14">
        <f t="shared" si="26"/>
        <v>742.86266444567445</v>
      </c>
      <c r="I313" s="14">
        <f t="shared" si="24"/>
        <v>0</v>
      </c>
      <c r="J313" s="14">
        <f t="shared" si="25"/>
        <v>742.86266444567445</v>
      </c>
      <c r="K313" s="26">
        <f t="shared" si="27"/>
        <v>222.85879933370234</v>
      </c>
      <c r="L313" s="21"/>
      <c r="M313" s="19"/>
      <c r="R313" s="20"/>
    </row>
    <row r="314" spans="1:18" hidden="1" x14ac:dyDescent="0.2">
      <c r="A314" s="7"/>
      <c r="B314" s="42">
        <v>281</v>
      </c>
      <c r="C314" s="14">
        <f t="shared" si="23"/>
        <v>41505.449609391064</v>
      </c>
      <c r="D314" s="14">
        <f>IF(B314&gt;$K$9,"",IF($D$8=Variables!$B$3,PPMT($D$18,B314,$K$9,-$J$10),IF($D$8=Variables!$B$6,PPMT($D$18,B314,$K$9,-$J$10),IF($D$8=Variables!$B$5,PPMT($D$18,B314-12,$K$9-12,-$C$45),IF(AND($D$8=Variables!$B$4,$D$15="si"),0,PPMT($D$18,B314-18,$K$9-18,-$J$10-SUM($L$34:$L$51))))))+IF(AND($D$8=Variables!$B$4,'Sim Reg N° 800'!$D$15="SI"),PPMT($D$18,B314-24,$K$9-24,-$J$10-SUM($M$34:$M$57))))</f>
        <v>450.68686003072497</v>
      </c>
      <c r="E314" s="14">
        <f>IF(B314&gt;$K$9,"",IF($D$8=Variables!$B$3,IPMT($D$18,B314,$K$9,-$J$10),IF($D$8=Variables!$B$6,IPMT($D$18,B314,$K$9,-$J$10),IF($D$8=Variables!$B$5,IPMT($D$18,B314-12,$K$9-12,-$C$45),IF(AND($D$8=Variables!$B$4,$D$15="si"),0,IPMT($D$18,B314-18,$K$9-18,-$J$10-SUM($L$34:$L$51))))))+IF(AND($D$8=Variables!$B$4,'Sim Reg N° 800'!$D$15="SI"),IPMT($D$18,B314-24,$K$9-24,-$J$10-SUM($M$34:$M$57))))</f>
        <v>157.33551176033183</v>
      </c>
      <c r="F314" s="14">
        <f>IF(B314&gt;$K$9,"",IF(AND($D$8=Variables!$B$3,$D$12="SI",$D$19="NO",$D$13="SI",B314&gt;=7),(PMT(0.06/12,$K$9,-$C$33)-PMT(0.045/12,$K$9,-$C$33)),IF(AND($D$8=Variables!$B$5,$D$19="NO",$D$12="SI",$D$13="SI",B314&gt;12),(PMT(0.06/12,$K$9,-$C$45)-PMT(0.045/12,$K$9,-$C$45)),IF(AND($D$8=Variables!$B$4,$D$12="SI",$D$19="NO",$D$13="SI",$D$15="NO",B314&gt;18),(PMT(0.06/12,$K$9,-$C$51)-PMT(0.045/12,$K$9,-$C$51)),IF(AND($D$8=Variables!$B$4,$D$12="SI",$D$19="NO",$D$13="SI",$D$15="SI",B314&gt;24),(PMT(0.06/12,$K$9,-$C$57)-PMT(0.045/12,$K$9,-$C$57)),0)))))</f>
        <v>111.43825839224587</v>
      </c>
      <c r="G314" s="14">
        <f>+IF(B314&gt;$K$9,"",IF($D$8=Variables!$B$6,0.21*IPMT('Sim Reg N° 800'!$D$18,'Sim Reg N° 800'!B314,'Sim Reg N° 800'!$K$9,-'Sim Reg N° 800'!$J$10),0))+F314*0.21</f>
        <v>23.402034262371632</v>
      </c>
      <c r="H314" s="14">
        <f t="shared" si="26"/>
        <v>742.86266444567434</v>
      </c>
      <c r="I314" s="14">
        <f t="shared" si="24"/>
        <v>0</v>
      </c>
      <c r="J314" s="14">
        <f t="shared" si="25"/>
        <v>742.86266444567434</v>
      </c>
      <c r="K314" s="26">
        <f t="shared" si="27"/>
        <v>222.85879933370231</v>
      </c>
      <c r="L314" s="21"/>
      <c r="M314" s="19"/>
      <c r="R314" s="20"/>
    </row>
    <row r="315" spans="1:18" hidden="1" x14ac:dyDescent="0.2">
      <c r="A315" s="7"/>
      <c r="B315" s="42">
        <v>282</v>
      </c>
      <c r="C315" s="14">
        <f t="shared" si="23"/>
        <v>41053.072673635223</v>
      </c>
      <c r="D315" s="14">
        <f>IF(B315&gt;$K$9,"",IF($D$8=Variables!$B$3,PPMT($D$18,B315,$K$9,-$J$10),IF($D$8=Variables!$B$6,PPMT($D$18,B315,$K$9,-$J$10),IF($D$8=Variables!$B$5,PPMT($D$18,B315-12,$K$9-12,-$C$45),IF(AND($D$8=Variables!$B$4,$D$15="si"),0,PPMT($D$18,B315-18,$K$9-18,-$J$10-SUM($L$34:$L$51))))))+IF(AND($D$8=Variables!$B$4,'Sim Reg N° 800'!$D$15="SI"),PPMT($D$18,B315-24,$K$9-24,-$J$10-SUM($M$34:$M$57))))</f>
        <v>452.37693575584018</v>
      </c>
      <c r="E315" s="14">
        <f>IF(B315&gt;$K$9,"",IF($D$8=Variables!$B$3,IPMT($D$18,B315,$K$9,-$J$10),IF($D$8=Variables!$B$6,IPMT($D$18,B315,$K$9,-$J$10),IF($D$8=Variables!$B$5,IPMT($D$18,B315-12,$K$9-12,-$C$45),IF(AND($D$8=Variables!$B$4,$D$15="si"),0,IPMT($D$18,B315-18,$K$9-18,-$J$10-SUM($L$34:$L$51))))))+IF(AND($D$8=Variables!$B$4,'Sim Reg N° 800'!$D$15="SI"),IPMT($D$18,B315-24,$K$9-24,-$J$10-SUM($M$34:$M$57))))</f>
        <v>155.64543603521662</v>
      </c>
      <c r="F315" s="14">
        <f>IF(B315&gt;$K$9,"",IF(AND($D$8=Variables!$B$3,$D$12="SI",$D$19="NO",$D$13="SI",B315&gt;=7),(PMT(0.06/12,$K$9,-$C$33)-PMT(0.045/12,$K$9,-$C$33)),IF(AND($D$8=Variables!$B$5,$D$19="NO",$D$12="SI",$D$13="SI",B315&gt;12),(PMT(0.06/12,$K$9,-$C$45)-PMT(0.045/12,$K$9,-$C$45)),IF(AND($D$8=Variables!$B$4,$D$12="SI",$D$19="NO",$D$13="SI",$D$15="NO",B315&gt;18),(PMT(0.06/12,$K$9,-$C$51)-PMT(0.045/12,$K$9,-$C$51)),IF(AND($D$8=Variables!$B$4,$D$12="SI",$D$19="NO",$D$13="SI",$D$15="SI",B315&gt;24),(PMT(0.06/12,$K$9,-$C$57)-PMT(0.045/12,$K$9,-$C$57)),0)))))</f>
        <v>111.43825839224587</v>
      </c>
      <c r="G315" s="14">
        <f>+IF(B315&gt;$K$9,"",IF($D$8=Variables!$B$6,0.21*IPMT('Sim Reg N° 800'!$D$18,'Sim Reg N° 800'!B315,'Sim Reg N° 800'!$K$9,-'Sim Reg N° 800'!$J$10),0))+F315*0.21</f>
        <v>23.402034262371632</v>
      </c>
      <c r="H315" s="14">
        <f t="shared" si="26"/>
        <v>742.86266444567434</v>
      </c>
      <c r="I315" s="14">
        <f t="shared" si="24"/>
        <v>0</v>
      </c>
      <c r="J315" s="14">
        <f t="shared" si="25"/>
        <v>742.86266444567434</v>
      </c>
      <c r="K315" s="26">
        <f t="shared" si="27"/>
        <v>222.85879933370231</v>
      </c>
      <c r="L315" s="21"/>
      <c r="M315" s="19"/>
      <c r="R315" s="20"/>
    </row>
    <row r="316" spans="1:18" hidden="1" x14ac:dyDescent="0.2">
      <c r="A316" s="7"/>
      <c r="B316" s="42">
        <v>283</v>
      </c>
      <c r="C316" s="14">
        <f t="shared" si="23"/>
        <v>40598.999324370299</v>
      </c>
      <c r="D316" s="14">
        <f>IF(B316&gt;$K$9,"",IF($D$8=Variables!$B$3,PPMT($D$18,B316,$K$9,-$J$10),IF($D$8=Variables!$B$6,PPMT($D$18,B316,$K$9,-$J$10),IF($D$8=Variables!$B$5,PPMT($D$18,B316-12,$K$9-12,-$C$45),IF(AND($D$8=Variables!$B$4,$D$15="si"),0,PPMT($D$18,B316-18,$K$9-18,-$J$10-SUM($L$34:$L$51))))))+IF(AND($D$8=Variables!$B$4,'Sim Reg N° 800'!$D$15="SI"),PPMT($D$18,B316-24,$K$9-24,-$J$10-SUM($M$34:$M$57))))</f>
        <v>454.07334926492462</v>
      </c>
      <c r="E316" s="14">
        <f>IF(B316&gt;$K$9,"",IF($D$8=Variables!$B$3,IPMT($D$18,B316,$K$9,-$J$10),IF($D$8=Variables!$B$6,IPMT($D$18,B316,$K$9,-$J$10),IF($D$8=Variables!$B$5,IPMT($D$18,B316-12,$K$9-12,-$C$45),IF(AND($D$8=Variables!$B$4,$D$15="si"),0,IPMT($D$18,B316-18,$K$9-18,-$J$10-SUM($L$34:$L$51))))))+IF(AND($D$8=Variables!$B$4,'Sim Reg N° 800'!$D$15="SI"),IPMT($D$18,B316-24,$K$9-24,-$J$10-SUM($M$34:$M$57))))</f>
        <v>153.94902252613221</v>
      </c>
      <c r="F316" s="14">
        <f>IF(B316&gt;$K$9,"",IF(AND($D$8=Variables!$B$3,$D$12="SI",$D$19="NO",$D$13="SI",B316&gt;=7),(PMT(0.06/12,$K$9,-$C$33)-PMT(0.045/12,$K$9,-$C$33)),IF(AND($D$8=Variables!$B$5,$D$19="NO",$D$12="SI",$D$13="SI",B316&gt;12),(PMT(0.06/12,$K$9,-$C$45)-PMT(0.045/12,$K$9,-$C$45)),IF(AND($D$8=Variables!$B$4,$D$12="SI",$D$19="NO",$D$13="SI",$D$15="NO",B316&gt;18),(PMT(0.06/12,$K$9,-$C$51)-PMT(0.045/12,$K$9,-$C$51)),IF(AND($D$8=Variables!$B$4,$D$12="SI",$D$19="NO",$D$13="SI",$D$15="SI",B316&gt;24),(PMT(0.06/12,$K$9,-$C$57)-PMT(0.045/12,$K$9,-$C$57)),0)))))</f>
        <v>111.43825839224587</v>
      </c>
      <c r="G316" s="14">
        <f>+IF(B316&gt;$K$9,"",IF($D$8=Variables!$B$6,0.21*IPMT('Sim Reg N° 800'!$D$18,'Sim Reg N° 800'!B316,'Sim Reg N° 800'!$K$9,-'Sim Reg N° 800'!$J$10),0))+F316*0.21</f>
        <v>23.402034262371632</v>
      </c>
      <c r="H316" s="14">
        <f t="shared" si="26"/>
        <v>742.86266444567434</v>
      </c>
      <c r="I316" s="14">
        <f t="shared" si="24"/>
        <v>0</v>
      </c>
      <c r="J316" s="14">
        <f t="shared" si="25"/>
        <v>742.86266444567434</v>
      </c>
      <c r="K316" s="26">
        <f t="shared" si="27"/>
        <v>222.85879933370231</v>
      </c>
      <c r="L316" s="21"/>
      <c r="M316" s="19"/>
      <c r="R316" s="20"/>
    </row>
    <row r="317" spans="1:18" hidden="1" x14ac:dyDescent="0.2">
      <c r="A317" s="7"/>
      <c r="B317" s="42">
        <v>284</v>
      </c>
      <c r="C317" s="14">
        <f t="shared" si="23"/>
        <v>40143.223200045628</v>
      </c>
      <c r="D317" s="14">
        <f>IF(B317&gt;$K$9,"",IF($D$8=Variables!$B$3,PPMT($D$18,B317,$K$9,-$J$10),IF($D$8=Variables!$B$6,PPMT($D$18,B317,$K$9,-$J$10),IF($D$8=Variables!$B$5,PPMT($D$18,B317-12,$K$9-12,-$C$45),IF(AND($D$8=Variables!$B$4,$D$15="si"),0,PPMT($D$18,B317-18,$K$9-18,-$J$10-SUM($L$34:$L$51))))))+IF(AND($D$8=Variables!$B$4,'Sim Reg N° 800'!$D$15="SI"),PPMT($D$18,B317-24,$K$9-24,-$J$10-SUM($M$34:$M$57))))</f>
        <v>455.7761243246681</v>
      </c>
      <c r="E317" s="14">
        <f>IF(B317&gt;$K$9,"",IF($D$8=Variables!$B$3,IPMT($D$18,B317,$K$9,-$J$10),IF($D$8=Variables!$B$6,IPMT($D$18,B317,$K$9,-$J$10),IF($D$8=Variables!$B$5,IPMT($D$18,B317-12,$K$9-12,-$C$45),IF(AND($D$8=Variables!$B$4,$D$15="si"),0,IPMT($D$18,B317-18,$K$9-18,-$J$10-SUM($L$34:$L$51))))))+IF(AND($D$8=Variables!$B$4,'Sim Reg N° 800'!$D$15="SI"),IPMT($D$18,B317-24,$K$9-24,-$J$10-SUM($M$34:$M$57))))</f>
        <v>152.24624746638875</v>
      </c>
      <c r="F317" s="14">
        <f>IF(B317&gt;$K$9,"",IF(AND($D$8=Variables!$B$3,$D$12="SI",$D$19="NO",$D$13="SI",B317&gt;=7),(PMT(0.06/12,$K$9,-$C$33)-PMT(0.045/12,$K$9,-$C$33)),IF(AND($D$8=Variables!$B$5,$D$19="NO",$D$12="SI",$D$13="SI",B317&gt;12),(PMT(0.06/12,$K$9,-$C$45)-PMT(0.045/12,$K$9,-$C$45)),IF(AND($D$8=Variables!$B$4,$D$12="SI",$D$19="NO",$D$13="SI",$D$15="NO",B317&gt;18),(PMT(0.06/12,$K$9,-$C$51)-PMT(0.045/12,$K$9,-$C$51)),IF(AND($D$8=Variables!$B$4,$D$12="SI",$D$19="NO",$D$13="SI",$D$15="SI",B317&gt;24),(PMT(0.06/12,$K$9,-$C$57)-PMT(0.045/12,$K$9,-$C$57)),0)))))</f>
        <v>111.43825839224587</v>
      </c>
      <c r="G317" s="14">
        <f>+IF(B317&gt;$K$9,"",IF($D$8=Variables!$B$6,0.21*IPMT('Sim Reg N° 800'!$D$18,'Sim Reg N° 800'!B317,'Sim Reg N° 800'!$K$9,-'Sim Reg N° 800'!$J$10),0))+F317*0.21</f>
        <v>23.402034262371632</v>
      </c>
      <c r="H317" s="14">
        <f t="shared" si="26"/>
        <v>742.86266444567434</v>
      </c>
      <c r="I317" s="14">
        <f t="shared" si="24"/>
        <v>0</v>
      </c>
      <c r="J317" s="14">
        <f t="shared" si="25"/>
        <v>742.86266444567434</v>
      </c>
      <c r="K317" s="26">
        <f t="shared" si="27"/>
        <v>222.85879933370231</v>
      </c>
      <c r="L317" s="21"/>
      <c r="M317" s="19"/>
      <c r="R317" s="20"/>
    </row>
    <row r="318" spans="1:18" hidden="1" x14ac:dyDescent="0.2">
      <c r="A318" s="7"/>
      <c r="B318" s="42">
        <v>285</v>
      </c>
      <c r="C318" s="14">
        <f t="shared" si="23"/>
        <v>39685.737915254744</v>
      </c>
      <c r="D318" s="14">
        <f>IF(B318&gt;$K$9,"",IF($D$8=Variables!$B$3,PPMT($D$18,B318,$K$9,-$J$10),IF($D$8=Variables!$B$6,PPMT($D$18,B318,$K$9,-$J$10),IF($D$8=Variables!$B$5,PPMT($D$18,B318-12,$K$9-12,-$C$45),IF(AND($D$8=Variables!$B$4,$D$15="si"),0,PPMT($D$18,B318-18,$K$9-18,-$J$10-SUM($L$34:$L$51))))))+IF(AND($D$8=Variables!$B$4,'Sim Reg N° 800'!$D$15="SI"),PPMT($D$18,B318-24,$K$9-24,-$J$10-SUM($M$34:$M$57))))</f>
        <v>457.4852847908856</v>
      </c>
      <c r="E318" s="14">
        <f>IF(B318&gt;$K$9,"",IF($D$8=Variables!$B$3,IPMT($D$18,B318,$K$9,-$J$10),IF($D$8=Variables!$B$6,IPMT($D$18,B318,$K$9,-$J$10),IF($D$8=Variables!$B$5,IPMT($D$18,B318-12,$K$9-12,-$C$45),IF(AND($D$8=Variables!$B$4,$D$15="si"),0,IPMT($D$18,B318-18,$K$9-18,-$J$10-SUM($L$34:$L$51))))))+IF(AND($D$8=Variables!$B$4,'Sim Reg N° 800'!$D$15="SI"),IPMT($D$18,B318-24,$K$9-24,-$J$10-SUM($M$34:$M$57))))</f>
        <v>150.53708700017125</v>
      </c>
      <c r="F318" s="14">
        <f>IF(B318&gt;$K$9,"",IF(AND($D$8=Variables!$B$3,$D$12="SI",$D$19="NO",$D$13="SI",B318&gt;=7),(PMT(0.06/12,$K$9,-$C$33)-PMT(0.045/12,$K$9,-$C$33)),IF(AND($D$8=Variables!$B$5,$D$19="NO",$D$12="SI",$D$13="SI",B318&gt;12),(PMT(0.06/12,$K$9,-$C$45)-PMT(0.045/12,$K$9,-$C$45)),IF(AND($D$8=Variables!$B$4,$D$12="SI",$D$19="NO",$D$13="SI",$D$15="NO",B318&gt;18),(PMT(0.06/12,$K$9,-$C$51)-PMT(0.045/12,$K$9,-$C$51)),IF(AND($D$8=Variables!$B$4,$D$12="SI",$D$19="NO",$D$13="SI",$D$15="SI",B318&gt;24),(PMT(0.06/12,$K$9,-$C$57)-PMT(0.045/12,$K$9,-$C$57)),0)))))</f>
        <v>111.43825839224587</v>
      </c>
      <c r="G318" s="14">
        <f>+IF(B318&gt;$K$9,"",IF($D$8=Variables!$B$6,0.21*IPMT('Sim Reg N° 800'!$D$18,'Sim Reg N° 800'!B318,'Sim Reg N° 800'!$K$9,-'Sim Reg N° 800'!$J$10),0))+F318*0.21</f>
        <v>23.402034262371632</v>
      </c>
      <c r="H318" s="14">
        <f t="shared" si="26"/>
        <v>742.86266444567434</v>
      </c>
      <c r="I318" s="14">
        <f t="shared" si="24"/>
        <v>0</v>
      </c>
      <c r="J318" s="14">
        <f t="shared" si="25"/>
        <v>742.86266444567434</v>
      </c>
      <c r="K318" s="26">
        <f t="shared" si="27"/>
        <v>222.85879933370231</v>
      </c>
      <c r="L318" s="21"/>
      <c r="M318" s="19"/>
      <c r="R318" s="20"/>
    </row>
    <row r="319" spans="1:18" hidden="1" x14ac:dyDescent="0.2">
      <c r="A319" s="7"/>
      <c r="B319" s="42">
        <v>286</v>
      </c>
      <c r="C319" s="14">
        <f t="shared" si="23"/>
        <v>39226.537060645889</v>
      </c>
      <c r="D319" s="14">
        <f>IF(B319&gt;$K$9,"",IF($D$8=Variables!$B$3,PPMT($D$18,B319,$K$9,-$J$10),IF($D$8=Variables!$B$6,PPMT($D$18,B319,$K$9,-$J$10),IF($D$8=Variables!$B$5,PPMT($D$18,B319-12,$K$9-12,-$C$45),IF(AND($D$8=Variables!$B$4,$D$15="si"),0,PPMT($D$18,B319-18,$K$9-18,-$J$10-SUM($L$34:$L$51))))))+IF(AND($D$8=Variables!$B$4,'Sim Reg N° 800'!$D$15="SI"),PPMT($D$18,B319-24,$K$9-24,-$J$10-SUM($M$34:$M$57))))</f>
        <v>459.20085460885144</v>
      </c>
      <c r="E319" s="14">
        <f>IF(B319&gt;$K$9,"",IF($D$8=Variables!$B$3,IPMT($D$18,B319,$K$9,-$J$10),IF($D$8=Variables!$B$6,IPMT($D$18,B319,$K$9,-$J$10),IF($D$8=Variables!$B$5,IPMT($D$18,B319-12,$K$9-12,-$C$45),IF(AND($D$8=Variables!$B$4,$D$15="si"),0,IPMT($D$18,B319-18,$K$9-18,-$J$10-SUM($L$34:$L$51))))))+IF(AND($D$8=Variables!$B$4,'Sim Reg N° 800'!$D$15="SI"),IPMT($D$18,B319-24,$K$9-24,-$J$10-SUM($M$34:$M$57))))</f>
        <v>148.82151718220544</v>
      </c>
      <c r="F319" s="14">
        <f>IF(B319&gt;$K$9,"",IF(AND($D$8=Variables!$B$3,$D$12="SI",$D$19="NO",$D$13="SI",B319&gt;=7),(PMT(0.06/12,$K$9,-$C$33)-PMT(0.045/12,$K$9,-$C$33)),IF(AND($D$8=Variables!$B$5,$D$19="NO",$D$12="SI",$D$13="SI",B319&gt;12),(PMT(0.06/12,$K$9,-$C$45)-PMT(0.045/12,$K$9,-$C$45)),IF(AND($D$8=Variables!$B$4,$D$12="SI",$D$19="NO",$D$13="SI",$D$15="NO",B319&gt;18),(PMT(0.06/12,$K$9,-$C$51)-PMT(0.045/12,$K$9,-$C$51)),IF(AND($D$8=Variables!$B$4,$D$12="SI",$D$19="NO",$D$13="SI",$D$15="SI",B319&gt;24),(PMT(0.06/12,$K$9,-$C$57)-PMT(0.045/12,$K$9,-$C$57)),0)))))</f>
        <v>111.43825839224587</v>
      </c>
      <c r="G319" s="14">
        <f>+IF(B319&gt;$K$9,"",IF($D$8=Variables!$B$6,0.21*IPMT('Sim Reg N° 800'!$D$18,'Sim Reg N° 800'!B319,'Sim Reg N° 800'!$K$9,-'Sim Reg N° 800'!$J$10),0))+F319*0.21</f>
        <v>23.402034262371632</v>
      </c>
      <c r="H319" s="14">
        <f t="shared" si="26"/>
        <v>742.86266444567445</v>
      </c>
      <c r="I319" s="14">
        <f t="shared" si="24"/>
        <v>0</v>
      </c>
      <c r="J319" s="14">
        <f t="shared" si="25"/>
        <v>742.86266444567445</v>
      </c>
      <c r="K319" s="26">
        <f t="shared" si="27"/>
        <v>222.85879933370234</v>
      </c>
      <c r="L319" s="21"/>
      <c r="M319" s="19"/>
      <c r="R319" s="20"/>
    </row>
    <row r="320" spans="1:18" hidden="1" x14ac:dyDescent="0.2">
      <c r="A320" s="7"/>
      <c r="B320" s="42">
        <v>287</v>
      </c>
      <c r="C320" s="14">
        <f t="shared" si="23"/>
        <v>38765.614202832257</v>
      </c>
      <c r="D320" s="14">
        <f>IF(B320&gt;$K$9,"",IF($D$8=Variables!$B$3,PPMT($D$18,B320,$K$9,-$J$10),IF($D$8=Variables!$B$6,PPMT($D$18,B320,$K$9,-$J$10),IF($D$8=Variables!$B$5,PPMT($D$18,B320-12,$K$9-12,-$C$45),IF(AND($D$8=Variables!$B$4,$D$15="si"),0,PPMT($D$18,B320-18,$K$9-18,-$J$10-SUM($L$34:$L$51))))))+IF(AND($D$8=Variables!$B$4,'Sim Reg N° 800'!$D$15="SI"),PPMT($D$18,B320-24,$K$9-24,-$J$10-SUM($M$34:$M$57))))</f>
        <v>460.92285781363461</v>
      </c>
      <c r="E320" s="14">
        <f>IF(B320&gt;$K$9,"",IF($D$8=Variables!$B$3,IPMT($D$18,B320,$K$9,-$J$10),IF($D$8=Variables!$B$6,IPMT($D$18,B320,$K$9,-$J$10),IF($D$8=Variables!$B$5,IPMT($D$18,B320-12,$K$9-12,-$C$45),IF(AND($D$8=Variables!$B$4,$D$15="si"),0,IPMT($D$18,B320-18,$K$9-18,-$J$10-SUM($L$34:$L$51))))))+IF(AND($D$8=Variables!$B$4,'Sim Reg N° 800'!$D$15="SI"),IPMT($D$18,B320-24,$K$9-24,-$J$10-SUM($M$34:$M$57))))</f>
        <v>147.09951397742225</v>
      </c>
      <c r="F320" s="14">
        <f>IF(B320&gt;$K$9,"",IF(AND($D$8=Variables!$B$3,$D$12="SI",$D$19="NO",$D$13="SI",B320&gt;=7),(PMT(0.06/12,$K$9,-$C$33)-PMT(0.045/12,$K$9,-$C$33)),IF(AND($D$8=Variables!$B$5,$D$19="NO",$D$12="SI",$D$13="SI",B320&gt;12),(PMT(0.06/12,$K$9,-$C$45)-PMT(0.045/12,$K$9,-$C$45)),IF(AND($D$8=Variables!$B$4,$D$12="SI",$D$19="NO",$D$13="SI",$D$15="NO",B320&gt;18),(PMT(0.06/12,$K$9,-$C$51)-PMT(0.045/12,$K$9,-$C$51)),IF(AND($D$8=Variables!$B$4,$D$12="SI",$D$19="NO",$D$13="SI",$D$15="SI",B320&gt;24),(PMT(0.06/12,$K$9,-$C$57)-PMT(0.045/12,$K$9,-$C$57)),0)))))</f>
        <v>111.43825839224587</v>
      </c>
      <c r="G320" s="14">
        <f>+IF(B320&gt;$K$9,"",IF($D$8=Variables!$B$6,0.21*IPMT('Sim Reg N° 800'!$D$18,'Sim Reg N° 800'!B320,'Sim Reg N° 800'!$K$9,-'Sim Reg N° 800'!$J$10),0))+F320*0.21</f>
        <v>23.402034262371632</v>
      </c>
      <c r="H320" s="14">
        <f t="shared" si="26"/>
        <v>742.86266444567434</v>
      </c>
      <c r="I320" s="14">
        <f t="shared" si="24"/>
        <v>0</v>
      </c>
      <c r="J320" s="14">
        <f t="shared" si="25"/>
        <v>742.86266444567434</v>
      </c>
      <c r="K320" s="26">
        <f t="shared" si="27"/>
        <v>222.85879933370231</v>
      </c>
      <c r="L320" s="21"/>
      <c r="M320" s="19"/>
      <c r="R320" s="20"/>
    </row>
    <row r="321" spans="1:18" hidden="1" x14ac:dyDescent="0.2">
      <c r="A321" s="7"/>
      <c r="B321" s="42">
        <v>288</v>
      </c>
      <c r="C321" s="14">
        <f t="shared" si="23"/>
        <v>38302.962884301822</v>
      </c>
      <c r="D321" s="14">
        <f>IF(B321&gt;$K$9,"",IF($D$8=Variables!$B$3,PPMT($D$18,B321,$K$9,-$J$10),IF($D$8=Variables!$B$6,PPMT($D$18,B321,$K$9,-$J$10),IF($D$8=Variables!$B$5,PPMT($D$18,B321-12,$K$9-12,-$C$45),IF(AND($D$8=Variables!$B$4,$D$15="si"),0,PPMT($D$18,B321-18,$K$9-18,-$J$10-SUM($L$34:$L$51))))))+IF(AND($D$8=Variables!$B$4,'Sim Reg N° 800'!$D$15="SI"),PPMT($D$18,B321-24,$K$9-24,-$J$10-SUM($M$34:$M$57))))</f>
        <v>462.65131853043573</v>
      </c>
      <c r="E321" s="14">
        <f>IF(B321&gt;$K$9,"",IF($D$8=Variables!$B$3,IPMT($D$18,B321,$K$9,-$J$10),IF($D$8=Variables!$B$6,IPMT($D$18,B321,$K$9,-$J$10),IF($D$8=Variables!$B$5,IPMT($D$18,B321-12,$K$9-12,-$C$45),IF(AND($D$8=Variables!$B$4,$D$15="si"),0,IPMT($D$18,B321-18,$K$9-18,-$J$10-SUM($L$34:$L$51))))))+IF(AND($D$8=Variables!$B$4,'Sim Reg N° 800'!$D$15="SI"),IPMT($D$18,B321-24,$K$9-24,-$J$10-SUM($M$34:$M$57))))</f>
        <v>145.3710532606211</v>
      </c>
      <c r="F321" s="14">
        <f>IF(B321&gt;$K$9,"",IF(AND($D$8=Variables!$B$3,$D$12="SI",$D$19="NO",$D$13="SI",B321&gt;=7),(PMT(0.06/12,$K$9,-$C$33)-PMT(0.045/12,$K$9,-$C$33)),IF(AND($D$8=Variables!$B$5,$D$19="NO",$D$12="SI",$D$13="SI",B321&gt;12),(PMT(0.06/12,$K$9,-$C$45)-PMT(0.045/12,$K$9,-$C$45)),IF(AND($D$8=Variables!$B$4,$D$12="SI",$D$19="NO",$D$13="SI",$D$15="NO",B321&gt;18),(PMT(0.06/12,$K$9,-$C$51)-PMT(0.045/12,$K$9,-$C$51)),IF(AND($D$8=Variables!$B$4,$D$12="SI",$D$19="NO",$D$13="SI",$D$15="SI",B321&gt;24),(PMT(0.06/12,$K$9,-$C$57)-PMT(0.045/12,$K$9,-$C$57)),0)))))</f>
        <v>111.43825839224587</v>
      </c>
      <c r="G321" s="14">
        <f>+IF(B321&gt;$K$9,"",IF($D$8=Variables!$B$6,0.21*IPMT('Sim Reg N° 800'!$D$18,'Sim Reg N° 800'!B321,'Sim Reg N° 800'!$K$9,-'Sim Reg N° 800'!$J$10),0))+F321*0.21</f>
        <v>23.402034262371632</v>
      </c>
      <c r="H321" s="14">
        <f t="shared" si="26"/>
        <v>742.86266444567434</v>
      </c>
      <c r="I321" s="14">
        <f t="shared" si="24"/>
        <v>0</v>
      </c>
      <c r="J321" s="14">
        <f t="shared" si="25"/>
        <v>742.86266444567434</v>
      </c>
      <c r="K321" s="26">
        <f t="shared" si="27"/>
        <v>222.85879933370231</v>
      </c>
      <c r="L321" s="21"/>
      <c r="M321" s="19"/>
      <c r="R321" s="20"/>
    </row>
    <row r="322" spans="1:18" hidden="1" x14ac:dyDescent="0.2">
      <c r="A322" s="7"/>
      <c r="B322" s="42">
        <v>289</v>
      </c>
      <c r="C322" s="14">
        <f t="shared" si="23"/>
        <v>37838.576623326895</v>
      </c>
      <c r="D322" s="14">
        <f>IF(B322&gt;$K$9,"",IF($D$8=Variables!$B$3,PPMT($D$18,B322,$K$9,-$J$10),IF($D$8=Variables!$B$6,PPMT($D$18,B322,$K$9,-$J$10),IF($D$8=Variables!$B$5,PPMT($D$18,B322-12,$K$9-12,-$C$45),IF(AND($D$8=Variables!$B$4,$D$15="si"),0,PPMT($D$18,B322-18,$K$9-18,-$J$10-SUM($L$34:$L$51))))))+IF(AND($D$8=Variables!$B$4,'Sim Reg N° 800'!$D$15="SI"),PPMT($D$18,B322-24,$K$9-24,-$J$10-SUM($M$34:$M$57))))</f>
        <v>464.38626097492488</v>
      </c>
      <c r="E322" s="14">
        <f>IF(B322&gt;$K$9,"",IF($D$8=Variables!$B$3,IPMT($D$18,B322,$K$9,-$J$10),IF($D$8=Variables!$B$6,IPMT($D$18,B322,$K$9,-$J$10),IF($D$8=Variables!$B$5,IPMT($D$18,B322-12,$K$9-12,-$C$45),IF(AND($D$8=Variables!$B$4,$D$15="si"),0,IPMT($D$18,B322-18,$K$9-18,-$J$10-SUM($L$34:$L$51))))))+IF(AND($D$8=Variables!$B$4,'Sim Reg N° 800'!$D$15="SI"),IPMT($D$18,B322-24,$K$9-24,-$J$10-SUM($M$34:$M$57))))</f>
        <v>143.636110816132</v>
      </c>
      <c r="F322" s="14">
        <f>IF(B322&gt;$K$9,"",IF(AND($D$8=Variables!$B$3,$D$12="SI",$D$19="NO",$D$13="SI",B322&gt;=7),(PMT(0.06/12,$K$9,-$C$33)-PMT(0.045/12,$K$9,-$C$33)),IF(AND($D$8=Variables!$B$5,$D$19="NO",$D$12="SI",$D$13="SI",B322&gt;12),(PMT(0.06/12,$K$9,-$C$45)-PMT(0.045/12,$K$9,-$C$45)),IF(AND($D$8=Variables!$B$4,$D$12="SI",$D$19="NO",$D$13="SI",$D$15="NO",B322&gt;18),(PMT(0.06/12,$K$9,-$C$51)-PMT(0.045/12,$K$9,-$C$51)),IF(AND($D$8=Variables!$B$4,$D$12="SI",$D$19="NO",$D$13="SI",$D$15="SI",B322&gt;24),(PMT(0.06/12,$K$9,-$C$57)-PMT(0.045/12,$K$9,-$C$57)),0)))))</f>
        <v>111.43825839224587</v>
      </c>
      <c r="G322" s="14">
        <f>+IF(B322&gt;$K$9,"",IF($D$8=Variables!$B$6,0.21*IPMT('Sim Reg N° 800'!$D$18,'Sim Reg N° 800'!B322,'Sim Reg N° 800'!$K$9,-'Sim Reg N° 800'!$J$10),0))+F322*0.21</f>
        <v>23.402034262371632</v>
      </c>
      <c r="H322" s="14">
        <f t="shared" si="26"/>
        <v>742.86266444567445</v>
      </c>
      <c r="I322" s="14">
        <f t="shared" si="24"/>
        <v>95.999999999999986</v>
      </c>
      <c r="J322" s="14">
        <f t="shared" si="25"/>
        <v>838.86266444567445</v>
      </c>
      <c r="K322" s="26">
        <f t="shared" si="27"/>
        <v>251.65879933370232</v>
      </c>
      <c r="L322" s="21"/>
      <c r="M322" s="19"/>
      <c r="R322" s="20"/>
    </row>
    <row r="323" spans="1:18" hidden="1" x14ac:dyDescent="0.2">
      <c r="A323" s="7"/>
      <c r="B323" s="42">
        <v>290</v>
      </c>
      <c r="C323" s="14">
        <f t="shared" si="23"/>
        <v>37372.448913873312</v>
      </c>
      <c r="D323" s="14">
        <f>IF(B323&gt;$K$9,"",IF($D$8=Variables!$B$3,PPMT($D$18,B323,$K$9,-$J$10),IF($D$8=Variables!$B$6,PPMT($D$18,B323,$K$9,-$J$10),IF($D$8=Variables!$B$5,PPMT($D$18,B323-12,$K$9-12,-$C$45),IF(AND($D$8=Variables!$B$4,$D$15="si"),0,PPMT($D$18,B323-18,$K$9-18,-$J$10-SUM($L$34:$L$51))))))+IF(AND($D$8=Variables!$B$4,'Sim Reg N° 800'!$D$15="SI"),PPMT($D$18,B323-24,$K$9-24,-$J$10-SUM($M$34:$M$57))))</f>
        <v>466.12770945358085</v>
      </c>
      <c r="E323" s="14">
        <f>IF(B323&gt;$K$9,"",IF($D$8=Variables!$B$3,IPMT($D$18,B323,$K$9,-$J$10),IF($D$8=Variables!$B$6,IPMT($D$18,B323,$K$9,-$J$10),IF($D$8=Variables!$B$5,IPMT($D$18,B323-12,$K$9-12,-$C$45),IF(AND($D$8=Variables!$B$4,$D$15="si"),0,IPMT($D$18,B323-18,$K$9-18,-$J$10-SUM($L$34:$L$51))))))+IF(AND($D$8=Variables!$B$4,'Sim Reg N° 800'!$D$15="SI"),IPMT($D$18,B323-24,$K$9-24,-$J$10-SUM($M$34:$M$57))))</f>
        <v>141.89466233747598</v>
      </c>
      <c r="F323" s="14">
        <f>IF(B323&gt;$K$9,"",IF(AND($D$8=Variables!$B$3,$D$12="SI",$D$19="NO",$D$13="SI",B323&gt;=7),(PMT(0.06/12,$K$9,-$C$33)-PMT(0.045/12,$K$9,-$C$33)),IF(AND($D$8=Variables!$B$5,$D$19="NO",$D$12="SI",$D$13="SI",B323&gt;12),(PMT(0.06/12,$K$9,-$C$45)-PMT(0.045/12,$K$9,-$C$45)),IF(AND($D$8=Variables!$B$4,$D$12="SI",$D$19="NO",$D$13="SI",$D$15="NO",B323&gt;18),(PMT(0.06/12,$K$9,-$C$51)-PMT(0.045/12,$K$9,-$C$51)),IF(AND($D$8=Variables!$B$4,$D$12="SI",$D$19="NO",$D$13="SI",$D$15="SI",B323&gt;24),(PMT(0.06/12,$K$9,-$C$57)-PMT(0.045/12,$K$9,-$C$57)),0)))))</f>
        <v>111.43825839224587</v>
      </c>
      <c r="G323" s="14">
        <f>+IF(B323&gt;$K$9,"",IF($D$8=Variables!$B$6,0.21*IPMT('Sim Reg N° 800'!$D$18,'Sim Reg N° 800'!B323,'Sim Reg N° 800'!$K$9,-'Sim Reg N° 800'!$J$10),0))+F323*0.21</f>
        <v>23.402034262371632</v>
      </c>
      <c r="H323" s="14">
        <f t="shared" si="26"/>
        <v>742.86266444567434</v>
      </c>
      <c r="I323" s="14">
        <f t="shared" si="24"/>
        <v>0</v>
      </c>
      <c r="J323" s="14">
        <f t="shared" si="25"/>
        <v>742.86266444567434</v>
      </c>
      <c r="K323" s="26">
        <f t="shared" si="27"/>
        <v>222.85879933370231</v>
      </c>
      <c r="L323" s="21"/>
      <c r="M323" s="19"/>
      <c r="R323" s="20"/>
    </row>
    <row r="324" spans="1:18" hidden="1" x14ac:dyDescent="0.2">
      <c r="A324" s="7"/>
      <c r="B324" s="42">
        <v>291</v>
      </c>
      <c r="C324" s="14">
        <f t="shared" si="23"/>
        <v>36904.573225509281</v>
      </c>
      <c r="D324" s="14">
        <f>IF(B324&gt;$K$9,"",IF($D$8=Variables!$B$3,PPMT($D$18,B324,$K$9,-$J$10),IF($D$8=Variables!$B$6,PPMT($D$18,B324,$K$9,-$J$10),IF($D$8=Variables!$B$5,PPMT($D$18,B324-12,$K$9-12,-$C$45),IF(AND($D$8=Variables!$B$4,$D$15="si"),0,PPMT($D$18,B324-18,$K$9-18,-$J$10-SUM($L$34:$L$51))))))+IF(AND($D$8=Variables!$B$4,'Sim Reg N° 800'!$D$15="SI"),PPMT($D$18,B324-24,$K$9-24,-$J$10-SUM($M$34:$M$57))))</f>
        <v>467.87568836403176</v>
      </c>
      <c r="E324" s="14">
        <f>IF(B324&gt;$K$9,"",IF($D$8=Variables!$B$3,IPMT($D$18,B324,$K$9,-$J$10),IF($D$8=Variables!$B$6,IPMT($D$18,B324,$K$9,-$J$10),IF($D$8=Variables!$B$5,IPMT($D$18,B324-12,$K$9-12,-$C$45),IF(AND($D$8=Variables!$B$4,$D$15="si"),0,IPMT($D$18,B324-18,$K$9-18,-$J$10-SUM($L$34:$L$51))))))+IF(AND($D$8=Variables!$B$4,'Sim Reg N° 800'!$D$15="SI"),IPMT($D$18,B324-24,$K$9-24,-$J$10-SUM($M$34:$M$57))))</f>
        <v>140.14668342702507</v>
      </c>
      <c r="F324" s="14">
        <f>IF(B324&gt;$K$9,"",IF(AND($D$8=Variables!$B$3,$D$12="SI",$D$19="NO",$D$13="SI",B324&gt;=7),(PMT(0.06/12,$K$9,-$C$33)-PMT(0.045/12,$K$9,-$C$33)),IF(AND($D$8=Variables!$B$5,$D$19="NO",$D$12="SI",$D$13="SI",B324&gt;12),(PMT(0.06/12,$K$9,-$C$45)-PMT(0.045/12,$K$9,-$C$45)),IF(AND($D$8=Variables!$B$4,$D$12="SI",$D$19="NO",$D$13="SI",$D$15="NO",B324&gt;18),(PMT(0.06/12,$K$9,-$C$51)-PMT(0.045/12,$K$9,-$C$51)),IF(AND($D$8=Variables!$B$4,$D$12="SI",$D$19="NO",$D$13="SI",$D$15="SI",B324&gt;24),(PMT(0.06/12,$K$9,-$C$57)-PMT(0.045/12,$K$9,-$C$57)),0)))))</f>
        <v>111.43825839224587</v>
      </c>
      <c r="G324" s="14">
        <f>+IF(B324&gt;$K$9,"",IF($D$8=Variables!$B$6,0.21*IPMT('Sim Reg N° 800'!$D$18,'Sim Reg N° 800'!B324,'Sim Reg N° 800'!$K$9,-'Sim Reg N° 800'!$J$10),0))+F324*0.21</f>
        <v>23.402034262371632</v>
      </c>
      <c r="H324" s="14">
        <f t="shared" si="26"/>
        <v>742.86266444567434</v>
      </c>
      <c r="I324" s="14">
        <f t="shared" si="24"/>
        <v>0</v>
      </c>
      <c r="J324" s="14">
        <f t="shared" si="25"/>
        <v>742.86266444567434</v>
      </c>
      <c r="K324" s="26">
        <f t="shared" si="27"/>
        <v>222.85879933370231</v>
      </c>
      <c r="L324" s="21"/>
      <c r="M324" s="19"/>
      <c r="R324" s="20"/>
    </row>
    <row r="325" spans="1:18" hidden="1" x14ac:dyDescent="0.2">
      <c r="A325" s="7"/>
      <c r="B325" s="42">
        <v>292</v>
      </c>
      <c r="C325" s="14">
        <f t="shared" si="23"/>
        <v>36434.943003313885</v>
      </c>
      <c r="D325" s="14">
        <f>IF(B325&gt;$K$9,"",IF($D$8=Variables!$B$3,PPMT($D$18,B325,$K$9,-$J$10),IF($D$8=Variables!$B$6,PPMT($D$18,B325,$K$9,-$J$10),IF($D$8=Variables!$B$5,PPMT($D$18,B325-12,$K$9-12,-$C$45),IF(AND($D$8=Variables!$B$4,$D$15="si"),0,PPMT($D$18,B325-18,$K$9-18,-$J$10-SUM($L$34:$L$51))))))+IF(AND($D$8=Variables!$B$4,'Sim Reg N° 800'!$D$15="SI"),PPMT($D$18,B325-24,$K$9-24,-$J$10-SUM($M$34:$M$57))))</f>
        <v>469.63022219539687</v>
      </c>
      <c r="E325" s="14">
        <f>IF(B325&gt;$K$9,"",IF($D$8=Variables!$B$3,IPMT($D$18,B325,$K$9,-$J$10),IF($D$8=Variables!$B$6,IPMT($D$18,B325,$K$9,-$J$10),IF($D$8=Variables!$B$5,IPMT($D$18,B325-12,$K$9-12,-$C$45),IF(AND($D$8=Variables!$B$4,$D$15="si"),0,IPMT($D$18,B325-18,$K$9-18,-$J$10-SUM($L$34:$L$51))))))+IF(AND($D$8=Variables!$B$4,'Sim Reg N° 800'!$D$15="SI"),IPMT($D$18,B325-24,$K$9-24,-$J$10-SUM($M$34:$M$57))))</f>
        <v>138.39214959565993</v>
      </c>
      <c r="F325" s="14">
        <f>IF(B325&gt;$K$9,"",IF(AND($D$8=Variables!$B$3,$D$12="SI",$D$19="NO",$D$13="SI",B325&gt;=7),(PMT(0.06/12,$K$9,-$C$33)-PMT(0.045/12,$K$9,-$C$33)),IF(AND($D$8=Variables!$B$5,$D$19="NO",$D$12="SI",$D$13="SI",B325&gt;12),(PMT(0.06/12,$K$9,-$C$45)-PMT(0.045/12,$K$9,-$C$45)),IF(AND($D$8=Variables!$B$4,$D$12="SI",$D$19="NO",$D$13="SI",$D$15="NO",B325&gt;18),(PMT(0.06/12,$K$9,-$C$51)-PMT(0.045/12,$K$9,-$C$51)),IF(AND($D$8=Variables!$B$4,$D$12="SI",$D$19="NO",$D$13="SI",$D$15="SI",B325&gt;24),(PMT(0.06/12,$K$9,-$C$57)-PMT(0.045/12,$K$9,-$C$57)),0)))))</f>
        <v>111.43825839224587</v>
      </c>
      <c r="G325" s="14">
        <f>+IF(B325&gt;$K$9,"",IF($D$8=Variables!$B$6,0.21*IPMT('Sim Reg N° 800'!$D$18,'Sim Reg N° 800'!B325,'Sim Reg N° 800'!$K$9,-'Sim Reg N° 800'!$J$10),0))+F325*0.21</f>
        <v>23.402034262371632</v>
      </c>
      <c r="H325" s="14">
        <f t="shared" si="26"/>
        <v>742.86266444567434</v>
      </c>
      <c r="I325" s="14">
        <f t="shared" si="24"/>
        <v>0</v>
      </c>
      <c r="J325" s="14">
        <f t="shared" si="25"/>
        <v>742.86266444567434</v>
      </c>
      <c r="K325" s="26">
        <f t="shared" si="27"/>
        <v>222.85879933370231</v>
      </c>
      <c r="L325" s="21"/>
      <c r="M325" s="19"/>
      <c r="R325" s="20"/>
    </row>
    <row r="326" spans="1:18" hidden="1" x14ac:dyDescent="0.2">
      <c r="A326" s="7"/>
      <c r="B326" s="42">
        <v>293</v>
      </c>
      <c r="C326" s="14">
        <f t="shared" si="23"/>
        <v>35963.551667785257</v>
      </c>
      <c r="D326" s="14">
        <f>IF(B326&gt;$K$9,"",IF($D$8=Variables!$B$3,PPMT($D$18,B326,$K$9,-$J$10),IF($D$8=Variables!$B$6,PPMT($D$18,B326,$K$9,-$J$10),IF($D$8=Variables!$B$5,PPMT($D$18,B326-12,$K$9-12,-$C$45),IF(AND($D$8=Variables!$B$4,$D$15="si"),0,PPMT($D$18,B326-18,$K$9-18,-$J$10-SUM($L$34:$L$51))))))+IF(AND($D$8=Variables!$B$4,'Sim Reg N° 800'!$D$15="SI"),PPMT($D$18,B326-24,$K$9-24,-$J$10-SUM($M$34:$M$57))))</f>
        <v>471.39133552862967</v>
      </c>
      <c r="E326" s="14">
        <f>IF(B326&gt;$K$9,"",IF($D$8=Variables!$B$3,IPMT($D$18,B326,$K$9,-$J$10),IF($D$8=Variables!$B$6,IPMT($D$18,B326,$K$9,-$J$10),IF($D$8=Variables!$B$5,IPMT($D$18,B326-12,$K$9-12,-$C$45),IF(AND($D$8=Variables!$B$4,$D$15="si"),0,IPMT($D$18,B326-18,$K$9-18,-$J$10-SUM($L$34:$L$51))))))+IF(AND($D$8=Variables!$B$4,'Sim Reg N° 800'!$D$15="SI"),IPMT($D$18,B326-24,$K$9-24,-$J$10-SUM($M$34:$M$57))))</f>
        <v>136.63103626242722</v>
      </c>
      <c r="F326" s="14">
        <f>IF(B326&gt;$K$9,"",IF(AND($D$8=Variables!$B$3,$D$12="SI",$D$19="NO",$D$13="SI",B326&gt;=7),(PMT(0.06/12,$K$9,-$C$33)-PMT(0.045/12,$K$9,-$C$33)),IF(AND($D$8=Variables!$B$5,$D$19="NO",$D$12="SI",$D$13="SI",B326&gt;12),(PMT(0.06/12,$K$9,-$C$45)-PMT(0.045/12,$K$9,-$C$45)),IF(AND($D$8=Variables!$B$4,$D$12="SI",$D$19="NO",$D$13="SI",$D$15="NO",B326&gt;18),(PMT(0.06/12,$K$9,-$C$51)-PMT(0.045/12,$K$9,-$C$51)),IF(AND($D$8=Variables!$B$4,$D$12="SI",$D$19="NO",$D$13="SI",$D$15="SI",B326&gt;24),(PMT(0.06/12,$K$9,-$C$57)-PMT(0.045/12,$K$9,-$C$57)),0)))))</f>
        <v>111.43825839224587</v>
      </c>
      <c r="G326" s="14">
        <f>+IF(B326&gt;$K$9,"",IF($D$8=Variables!$B$6,0.21*IPMT('Sim Reg N° 800'!$D$18,'Sim Reg N° 800'!B326,'Sim Reg N° 800'!$K$9,-'Sim Reg N° 800'!$J$10),0))+F326*0.21</f>
        <v>23.402034262371632</v>
      </c>
      <c r="H326" s="14">
        <f t="shared" si="26"/>
        <v>742.86266444567445</v>
      </c>
      <c r="I326" s="14">
        <f t="shared" si="24"/>
        <v>0</v>
      </c>
      <c r="J326" s="14">
        <f t="shared" si="25"/>
        <v>742.86266444567445</v>
      </c>
      <c r="K326" s="26">
        <f t="shared" si="27"/>
        <v>222.85879933370234</v>
      </c>
      <c r="L326" s="21"/>
      <c r="M326" s="19"/>
      <c r="R326" s="20"/>
    </row>
    <row r="327" spans="1:18" hidden="1" x14ac:dyDescent="0.2">
      <c r="A327" s="7"/>
      <c r="B327" s="42">
        <v>294</v>
      </c>
      <c r="C327" s="14">
        <f t="shared" si="23"/>
        <v>35490.392614748394</v>
      </c>
      <c r="D327" s="14">
        <f>IF(B327&gt;$K$9,"",IF($D$8=Variables!$B$3,PPMT($D$18,B327,$K$9,-$J$10),IF($D$8=Variables!$B$6,PPMT($D$18,B327,$K$9,-$J$10),IF($D$8=Variables!$B$5,PPMT($D$18,B327-12,$K$9-12,-$C$45),IF(AND($D$8=Variables!$B$4,$D$15="si"),0,PPMT($D$18,B327-18,$K$9-18,-$J$10-SUM($L$34:$L$51))))))+IF(AND($D$8=Variables!$B$4,'Sim Reg N° 800'!$D$15="SI"),PPMT($D$18,B327-24,$K$9-24,-$J$10-SUM($M$34:$M$57))))</f>
        <v>473.15905303686196</v>
      </c>
      <c r="E327" s="14">
        <f>IF(B327&gt;$K$9,"",IF($D$8=Variables!$B$3,IPMT($D$18,B327,$K$9,-$J$10),IF($D$8=Variables!$B$6,IPMT($D$18,B327,$K$9,-$J$10),IF($D$8=Variables!$B$5,IPMT($D$18,B327-12,$K$9-12,-$C$45),IF(AND($D$8=Variables!$B$4,$D$15="si"),0,IPMT($D$18,B327-18,$K$9-18,-$J$10-SUM($L$34:$L$51))))))+IF(AND($D$8=Variables!$B$4,'Sim Reg N° 800'!$D$15="SI"),IPMT($D$18,B327-24,$K$9-24,-$J$10-SUM($M$34:$M$57))))</f>
        <v>134.86331875419484</v>
      </c>
      <c r="F327" s="14">
        <f>IF(B327&gt;$K$9,"",IF(AND($D$8=Variables!$B$3,$D$12="SI",$D$19="NO",$D$13="SI",B327&gt;=7),(PMT(0.06/12,$K$9,-$C$33)-PMT(0.045/12,$K$9,-$C$33)),IF(AND($D$8=Variables!$B$5,$D$19="NO",$D$12="SI",$D$13="SI",B327&gt;12),(PMT(0.06/12,$K$9,-$C$45)-PMT(0.045/12,$K$9,-$C$45)),IF(AND($D$8=Variables!$B$4,$D$12="SI",$D$19="NO",$D$13="SI",$D$15="NO",B327&gt;18),(PMT(0.06/12,$K$9,-$C$51)-PMT(0.045/12,$K$9,-$C$51)),IF(AND($D$8=Variables!$B$4,$D$12="SI",$D$19="NO",$D$13="SI",$D$15="SI",B327&gt;24),(PMT(0.06/12,$K$9,-$C$57)-PMT(0.045/12,$K$9,-$C$57)),0)))))</f>
        <v>111.43825839224587</v>
      </c>
      <c r="G327" s="14">
        <f>+IF(B327&gt;$K$9,"",IF($D$8=Variables!$B$6,0.21*IPMT('Sim Reg N° 800'!$D$18,'Sim Reg N° 800'!B327,'Sim Reg N° 800'!$K$9,-'Sim Reg N° 800'!$J$10),0))+F327*0.21</f>
        <v>23.402034262371632</v>
      </c>
      <c r="H327" s="14">
        <f t="shared" si="26"/>
        <v>742.86266444567434</v>
      </c>
      <c r="I327" s="14">
        <f t="shared" si="24"/>
        <v>0</v>
      </c>
      <c r="J327" s="14">
        <f t="shared" si="25"/>
        <v>742.86266444567434</v>
      </c>
      <c r="K327" s="26">
        <f t="shared" si="27"/>
        <v>222.85879933370231</v>
      </c>
      <c r="L327" s="21"/>
      <c r="M327" s="19"/>
      <c r="R327" s="20"/>
    </row>
    <row r="328" spans="1:18" hidden="1" x14ac:dyDescent="0.2">
      <c r="A328" s="7"/>
      <c r="B328" s="42">
        <v>295</v>
      </c>
      <c r="C328" s="14">
        <f t="shared" si="23"/>
        <v>35015.459215262643</v>
      </c>
      <c r="D328" s="14">
        <f>IF(B328&gt;$K$9,"",IF($D$8=Variables!$B$3,PPMT($D$18,B328,$K$9,-$J$10),IF($D$8=Variables!$B$6,PPMT($D$18,B328,$K$9,-$J$10),IF($D$8=Variables!$B$5,PPMT($D$18,B328-12,$K$9-12,-$C$45),IF(AND($D$8=Variables!$B$4,$D$15="si"),0,PPMT($D$18,B328-18,$K$9-18,-$J$10-SUM($L$34:$L$51))))))+IF(AND($D$8=Variables!$B$4,'Sim Reg N° 800'!$D$15="SI"),PPMT($D$18,B328-24,$K$9-24,-$J$10-SUM($M$34:$M$57))))</f>
        <v>474.93339948575016</v>
      </c>
      <c r="E328" s="14">
        <f>IF(B328&gt;$K$9,"",IF($D$8=Variables!$B$3,IPMT($D$18,B328,$K$9,-$J$10),IF($D$8=Variables!$B$6,IPMT($D$18,B328,$K$9,-$J$10),IF($D$8=Variables!$B$5,IPMT($D$18,B328-12,$K$9-12,-$C$45),IF(AND($D$8=Variables!$B$4,$D$15="si"),0,IPMT($D$18,B328-18,$K$9-18,-$J$10-SUM($L$34:$L$51))))))+IF(AND($D$8=Variables!$B$4,'Sim Reg N° 800'!$D$15="SI"),IPMT($D$18,B328-24,$K$9-24,-$J$10-SUM($M$34:$M$57))))</f>
        <v>133.08897230530661</v>
      </c>
      <c r="F328" s="14">
        <f>IF(B328&gt;$K$9,"",IF(AND($D$8=Variables!$B$3,$D$12="SI",$D$19="NO",$D$13="SI",B328&gt;=7),(PMT(0.06/12,$K$9,-$C$33)-PMT(0.045/12,$K$9,-$C$33)),IF(AND($D$8=Variables!$B$5,$D$19="NO",$D$12="SI",$D$13="SI",B328&gt;12),(PMT(0.06/12,$K$9,-$C$45)-PMT(0.045/12,$K$9,-$C$45)),IF(AND($D$8=Variables!$B$4,$D$12="SI",$D$19="NO",$D$13="SI",$D$15="NO",B328&gt;18),(PMT(0.06/12,$K$9,-$C$51)-PMT(0.045/12,$K$9,-$C$51)),IF(AND($D$8=Variables!$B$4,$D$12="SI",$D$19="NO",$D$13="SI",$D$15="SI",B328&gt;24),(PMT(0.06/12,$K$9,-$C$57)-PMT(0.045/12,$K$9,-$C$57)),0)))))</f>
        <v>111.43825839224587</v>
      </c>
      <c r="G328" s="14">
        <f>+IF(B328&gt;$K$9,"",IF($D$8=Variables!$B$6,0.21*IPMT('Sim Reg N° 800'!$D$18,'Sim Reg N° 800'!B328,'Sim Reg N° 800'!$K$9,-'Sim Reg N° 800'!$J$10),0))+F328*0.21</f>
        <v>23.402034262371632</v>
      </c>
      <c r="H328" s="14">
        <f t="shared" si="26"/>
        <v>742.86266444567423</v>
      </c>
      <c r="I328" s="14">
        <f t="shared" si="24"/>
        <v>0</v>
      </c>
      <c r="J328" s="14">
        <f t="shared" si="25"/>
        <v>742.86266444567423</v>
      </c>
      <c r="K328" s="26">
        <f t="shared" si="27"/>
        <v>222.85879933370225</v>
      </c>
      <c r="L328" s="21"/>
      <c r="M328" s="19"/>
      <c r="R328" s="20"/>
    </row>
    <row r="329" spans="1:18" hidden="1" x14ac:dyDescent="0.2">
      <c r="A329" s="7"/>
      <c r="B329" s="42">
        <v>296</v>
      </c>
      <c r="C329" s="14">
        <f t="shared" si="23"/>
        <v>34538.744815528822</v>
      </c>
      <c r="D329" s="14">
        <f>IF(B329&gt;$K$9,"",IF($D$8=Variables!$B$3,PPMT($D$18,B329,$K$9,-$J$10),IF($D$8=Variables!$B$6,PPMT($D$18,B329,$K$9,-$J$10),IF($D$8=Variables!$B$5,PPMT($D$18,B329-12,$K$9-12,-$C$45),IF(AND($D$8=Variables!$B$4,$D$15="si"),0,PPMT($D$18,B329-18,$K$9-18,-$J$10-SUM($L$34:$L$51))))))+IF(AND($D$8=Variables!$B$4,'Sim Reg N° 800'!$D$15="SI"),PPMT($D$18,B329-24,$K$9-24,-$J$10-SUM($M$34:$M$57))))</f>
        <v>476.71439973382178</v>
      </c>
      <c r="E329" s="14">
        <f>IF(B329&gt;$K$9,"",IF($D$8=Variables!$B$3,IPMT($D$18,B329,$K$9,-$J$10),IF($D$8=Variables!$B$6,IPMT($D$18,B329,$K$9,-$J$10),IF($D$8=Variables!$B$5,IPMT($D$18,B329-12,$K$9-12,-$C$45),IF(AND($D$8=Variables!$B$4,$D$15="si"),0,IPMT($D$18,B329-18,$K$9-18,-$J$10-SUM($L$34:$L$51))))))+IF(AND($D$8=Variables!$B$4,'Sim Reg N° 800'!$D$15="SI"),IPMT($D$18,B329-24,$K$9-24,-$J$10-SUM($M$34:$M$57))))</f>
        <v>131.30797205723508</v>
      </c>
      <c r="F329" s="14">
        <f>IF(B329&gt;$K$9,"",IF(AND($D$8=Variables!$B$3,$D$12="SI",$D$19="NO",$D$13="SI",B329&gt;=7),(PMT(0.06/12,$K$9,-$C$33)-PMT(0.045/12,$K$9,-$C$33)),IF(AND($D$8=Variables!$B$5,$D$19="NO",$D$12="SI",$D$13="SI",B329&gt;12),(PMT(0.06/12,$K$9,-$C$45)-PMT(0.045/12,$K$9,-$C$45)),IF(AND($D$8=Variables!$B$4,$D$12="SI",$D$19="NO",$D$13="SI",$D$15="NO",B329&gt;18),(PMT(0.06/12,$K$9,-$C$51)-PMT(0.045/12,$K$9,-$C$51)),IF(AND($D$8=Variables!$B$4,$D$12="SI",$D$19="NO",$D$13="SI",$D$15="SI",B329&gt;24),(PMT(0.06/12,$K$9,-$C$57)-PMT(0.045/12,$K$9,-$C$57)),0)))))</f>
        <v>111.43825839224587</v>
      </c>
      <c r="G329" s="14">
        <f>+IF(B329&gt;$K$9,"",IF($D$8=Variables!$B$6,0.21*IPMT('Sim Reg N° 800'!$D$18,'Sim Reg N° 800'!B329,'Sim Reg N° 800'!$K$9,-'Sim Reg N° 800'!$J$10),0))+F329*0.21</f>
        <v>23.402034262371632</v>
      </c>
      <c r="H329" s="14">
        <f t="shared" si="26"/>
        <v>742.86266444567434</v>
      </c>
      <c r="I329" s="14">
        <f t="shared" si="24"/>
        <v>0</v>
      </c>
      <c r="J329" s="14">
        <f t="shared" si="25"/>
        <v>742.86266444567434</v>
      </c>
      <c r="K329" s="26">
        <f t="shared" si="27"/>
        <v>222.85879933370231</v>
      </c>
      <c r="L329" s="21"/>
      <c r="M329" s="19"/>
      <c r="R329" s="20"/>
    </row>
    <row r="330" spans="1:18" hidden="1" x14ac:dyDescent="0.2">
      <c r="A330" s="7"/>
      <c r="B330" s="42">
        <v>297</v>
      </c>
      <c r="C330" s="14">
        <f t="shared" si="23"/>
        <v>34060.242736795997</v>
      </c>
      <c r="D330" s="14">
        <f>IF(B330&gt;$K$9,"",IF($D$8=Variables!$B$3,PPMT($D$18,B330,$K$9,-$J$10),IF($D$8=Variables!$B$6,PPMT($D$18,B330,$K$9,-$J$10),IF($D$8=Variables!$B$5,PPMT($D$18,B330-12,$K$9-12,-$C$45),IF(AND($D$8=Variables!$B$4,$D$15="si"),0,PPMT($D$18,B330-18,$K$9-18,-$J$10-SUM($L$34:$L$51))))))+IF(AND($D$8=Variables!$B$4,'Sim Reg N° 800'!$D$15="SI"),PPMT($D$18,B330-24,$K$9-24,-$J$10-SUM($M$34:$M$57))))</f>
        <v>478.50207873282363</v>
      </c>
      <c r="E330" s="14">
        <f>IF(B330&gt;$K$9,"",IF($D$8=Variables!$B$3,IPMT($D$18,B330,$K$9,-$J$10),IF($D$8=Variables!$B$6,IPMT($D$18,B330,$K$9,-$J$10),IF($D$8=Variables!$B$5,IPMT($D$18,B330-12,$K$9-12,-$C$45),IF(AND($D$8=Variables!$B$4,$D$15="si"),0,IPMT($D$18,B330-18,$K$9-18,-$J$10-SUM($L$34:$L$51))))))+IF(AND($D$8=Variables!$B$4,'Sim Reg N° 800'!$D$15="SI"),IPMT($D$18,B330-24,$K$9-24,-$J$10-SUM($M$34:$M$57))))</f>
        <v>129.52029305823322</v>
      </c>
      <c r="F330" s="14">
        <f>IF(B330&gt;$K$9,"",IF(AND($D$8=Variables!$B$3,$D$12="SI",$D$19="NO",$D$13="SI",B330&gt;=7),(PMT(0.06/12,$K$9,-$C$33)-PMT(0.045/12,$K$9,-$C$33)),IF(AND($D$8=Variables!$B$5,$D$19="NO",$D$12="SI",$D$13="SI",B330&gt;12),(PMT(0.06/12,$K$9,-$C$45)-PMT(0.045/12,$K$9,-$C$45)),IF(AND($D$8=Variables!$B$4,$D$12="SI",$D$19="NO",$D$13="SI",$D$15="NO",B330&gt;18),(PMT(0.06/12,$K$9,-$C$51)-PMT(0.045/12,$K$9,-$C$51)),IF(AND($D$8=Variables!$B$4,$D$12="SI",$D$19="NO",$D$13="SI",$D$15="SI",B330&gt;24),(PMT(0.06/12,$K$9,-$C$57)-PMT(0.045/12,$K$9,-$C$57)),0)))))</f>
        <v>111.43825839224587</v>
      </c>
      <c r="G330" s="14">
        <f>+IF(B330&gt;$K$9,"",IF($D$8=Variables!$B$6,0.21*IPMT('Sim Reg N° 800'!$D$18,'Sim Reg N° 800'!B330,'Sim Reg N° 800'!$K$9,-'Sim Reg N° 800'!$J$10),0))+F330*0.21</f>
        <v>23.402034262371632</v>
      </c>
      <c r="H330" s="14">
        <f t="shared" si="26"/>
        <v>742.86266444567434</v>
      </c>
      <c r="I330" s="14">
        <f t="shared" si="24"/>
        <v>0</v>
      </c>
      <c r="J330" s="14">
        <f t="shared" si="25"/>
        <v>742.86266444567434</v>
      </c>
      <c r="K330" s="26">
        <f t="shared" si="27"/>
        <v>222.85879933370231</v>
      </c>
      <c r="L330" s="21"/>
      <c r="M330" s="19"/>
      <c r="R330" s="20"/>
    </row>
    <row r="331" spans="1:18" hidden="1" x14ac:dyDescent="0.2">
      <c r="A331" s="7"/>
      <c r="B331" s="42">
        <v>298</v>
      </c>
      <c r="C331" s="14">
        <f t="shared" si="23"/>
        <v>33579.946275267925</v>
      </c>
      <c r="D331" s="14">
        <f>IF(B331&gt;$K$9,"",IF($D$8=Variables!$B$3,PPMT($D$18,B331,$K$9,-$J$10),IF($D$8=Variables!$B$6,PPMT($D$18,B331,$K$9,-$J$10),IF($D$8=Variables!$B$5,PPMT($D$18,B331-12,$K$9-12,-$C$45),IF(AND($D$8=Variables!$B$4,$D$15="si"),0,PPMT($D$18,B331-18,$K$9-18,-$J$10-SUM($L$34:$L$51))))))+IF(AND($D$8=Variables!$B$4,'Sim Reg N° 800'!$D$15="SI"),PPMT($D$18,B331-24,$K$9-24,-$J$10-SUM($M$34:$M$57))))</f>
        <v>480.29646152807169</v>
      </c>
      <c r="E331" s="14">
        <f>IF(B331&gt;$K$9,"",IF($D$8=Variables!$B$3,IPMT($D$18,B331,$K$9,-$J$10),IF($D$8=Variables!$B$6,IPMT($D$18,B331,$K$9,-$J$10),IF($D$8=Variables!$B$5,IPMT($D$18,B331-12,$K$9-12,-$C$45),IF(AND($D$8=Variables!$B$4,$D$15="si"),0,IPMT($D$18,B331-18,$K$9-18,-$J$10-SUM($L$34:$L$51))))))+IF(AND($D$8=Variables!$B$4,'Sim Reg N° 800'!$D$15="SI"),IPMT($D$18,B331-24,$K$9-24,-$J$10-SUM($M$34:$M$57))))</f>
        <v>127.72591026298515</v>
      </c>
      <c r="F331" s="14">
        <f>IF(B331&gt;$K$9,"",IF(AND($D$8=Variables!$B$3,$D$12="SI",$D$19="NO",$D$13="SI",B331&gt;=7),(PMT(0.06/12,$K$9,-$C$33)-PMT(0.045/12,$K$9,-$C$33)),IF(AND($D$8=Variables!$B$5,$D$19="NO",$D$12="SI",$D$13="SI",B331&gt;12),(PMT(0.06/12,$K$9,-$C$45)-PMT(0.045/12,$K$9,-$C$45)),IF(AND($D$8=Variables!$B$4,$D$12="SI",$D$19="NO",$D$13="SI",$D$15="NO",B331&gt;18),(PMT(0.06/12,$K$9,-$C$51)-PMT(0.045/12,$K$9,-$C$51)),IF(AND($D$8=Variables!$B$4,$D$12="SI",$D$19="NO",$D$13="SI",$D$15="SI",B331&gt;24),(PMT(0.06/12,$K$9,-$C$57)-PMT(0.045/12,$K$9,-$C$57)),0)))))</f>
        <v>111.43825839224587</v>
      </c>
      <c r="G331" s="14">
        <f>+IF(B331&gt;$K$9,"",IF($D$8=Variables!$B$6,0.21*IPMT('Sim Reg N° 800'!$D$18,'Sim Reg N° 800'!B331,'Sim Reg N° 800'!$K$9,-'Sim Reg N° 800'!$J$10),0))+F331*0.21</f>
        <v>23.402034262371632</v>
      </c>
      <c r="H331" s="14">
        <f t="shared" si="26"/>
        <v>742.86266444567434</v>
      </c>
      <c r="I331" s="14">
        <f t="shared" si="24"/>
        <v>0</v>
      </c>
      <c r="J331" s="14">
        <f t="shared" si="25"/>
        <v>742.86266444567434</v>
      </c>
      <c r="K331" s="26">
        <f t="shared" si="27"/>
        <v>222.85879933370231</v>
      </c>
      <c r="L331" s="21"/>
      <c r="M331" s="19"/>
      <c r="R331" s="20"/>
    </row>
    <row r="332" spans="1:18" hidden="1" x14ac:dyDescent="0.2">
      <c r="A332" s="7"/>
      <c r="B332" s="42">
        <v>299</v>
      </c>
      <c r="C332" s="14">
        <f t="shared" si="23"/>
        <v>33097.84870200912</v>
      </c>
      <c r="D332" s="14">
        <f>IF(B332&gt;$K$9,"",IF($D$8=Variables!$B$3,PPMT($D$18,B332,$K$9,-$J$10),IF($D$8=Variables!$B$6,PPMT($D$18,B332,$K$9,-$J$10),IF($D$8=Variables!$B$5,PPMT($D$18,B332-12,$K$9-12,-$C$45),IF(AND($D$8=Variables!$B$4,$D$15="si"),0,PPMT($D$18,B332-18,$K$9-18,-$J$10-SUM($L$34:$L$51))))))+IF(AND($D$8=Variables!$B$4,'Sim Reg N° 800'!$D$15="SI"),PPMT($D$18,B332-24,$K$9-24,-$J$10-SUM($M$34:$M$57))))</f>
        <v>482.09757325880196</v>
      </c>
      <c r="E332" s="14">
        <f>IF(B332&gt;$K$9,"",IF($D$8=Variables!$B$3,IPMT($D$18,B332,$K$9,-$J$10),IF($D$8=Variables!$B$6,IPMT($D$18,B332,$K$9,-$J$10),IF($D$8=Variables!$B$5,IPMT($D$18,B332-12,$K$9-12,-$C$45),IF(AND($D$8=Variables!$B$4,$D$15="si"),0,IPMT($D$18,B332-18,$K$9-18,-$J$10-SUM($L$34:$L$51))))))+IF(AND($D$8=Variables!$B$4,'Sim Reg N° 800'!$D$15="SI"),IPMT($D$18,B332-24,$K$9-24,-$J$10-SUM($M$34:$M$57))))</f>
        <v>125.92479853225488</v>
      </c>
      <c r="F332" s="14">
        <f>IF(B332&gt;$K$9,"",IF(AND($D$8=Variables!$B$3,$D$12="SI",$D$19="NO",$D$13="SI",B332&gt;=7),(PMT(0.06/12,$K$9,-$C$33)-PMT(0.045/12,$K$9,-$C$33)),IF(AND($D$8=Variables!$B$5,$D$19="NO",$D$12="SI",$D$13="SI",B332&gt;12),(PMT(0.06/12,$K$9,-$C$45)-PMT(0.045/12,$K$9,-$C$45)),IF(AND($D$8=Variables!$B$4,$D$12="SI",$D$19="NO",$D$13="SI",$D$15="NO",B332&gt;18),(PMT(0.06/12,$K$9,-$C$51)-PMT(0.045/12,$K$9,-$C$51)),IF(AND($D$8=Variables!$B$4,$D$12="SI",$D$19="NO",$D$13="SI",$D$15="SI",B332&gt;24),(PMT(0.06/12,$K$9,-$C$57)-PMT(0.045/12,$K$9,-$C$57)),0)))))</f>
        <v>111.43825839224587</v>
      </c>
      <c r="G332" s="14">
        <f>+IF(B332&gt;$K$9,"",IF($D$8=Variables!$B$6,0.21*IPMT('Sim Reg N° 800'!$D$18,'Sim Reg N° 800'!B332,'Sim Reg N° 800'!$K$9,-'Sim Reg N° 800'!$J$10),0))+F332*0.21</f>
        <v>23.402034262371632</v>
      </c>
      <c r="H332" s="14">
        <f t="shared" si="26"/>
        <v>742.86266444567434</v>
      </c>
      <c r="I332" s="14">
        <f t="shared" si="24"/>
        <v>0</v>
      </c>
      <c r="J332" s="14">
        <f t="shared" si="25"/>
        <v>742.86266444567434</v>
      </c>
      <c r="K332" s="26">
        <f t="shared" si="27"/>
        <v>222.85879933370231</v>
      </c>
      <c r="L332" s="21"/>
      <c r="M332" s="19"/>
      <c r="R332" s="20"/>
    </row>
    <row r="333" spans="1:18" hidden="1" x14ac:dyDescent="0.2">
      <c r="A333" s="7"/>
      <c r="B333" s="42">
        <v>300</v>
      </c>
      <c r="C333" s="14">
        <f t="shared" si="23"/>
        <v>32613.943262850597</v>
      </c>
      <c r="D333" s="14">
        <f>IF(B333&gt;$K$9,"",IF($D$8=Variables!$B$3,PPMT($D$18,B333,$K$9,-$J$10),IF($D$8=Variables!$B$6,PPMT($D$18,B333,$K$9,-$J$10),IF($D$8=Variables!$B$5,PPMT($D$18,B333-12,$K$9-12,-$C$45),IF(AND($D$8=Variables!$B$4,$D$15="si"),0,PPMT($D$18,B333-18,$K$9-18,-$J$10-SUM($L$34:$L$51))))))+IF(AND($D$8=Variables!$B$4,'Sim Reg N° 800'!$D$15="SI"),PPMT($D$18,B333-24,$K$9-24,-$J$10-SUM($M$34:$M$57))))</f>
        <v>483.90543915852248</v>
      </c>
      <c r="E333" s="14">
        <f>IF(B333&gt;$K$9,"",IF($D$8=Variables!$B$3,IPMT($D$18,B333,$K$9,-$J$10),IF($D$8=Variables!$B$6,IPMT($D$18,B333,$K$9,-$J$10),IF($D$8=Variables!$B$5,IPMT($D$18,B333-12,$K$9-12,-$C$45),IF(AND($D$8=Variables!$B$4,$D$15="si"),0,IPMT($D$18,B333-18,$K$9-18,-$J$10-SUM($L$34:$L$51))))))+IF(AND($D$8=Variables!$B$4,'Sim Reg N° 800'!$D$15="SI"),IPMT($D$18,B333-24,$K$9-24,-$J$10-SUM($M$34:$M$57))))</f>
        <v>124.11693263253436</v>
      </c>
      <c r="F333" s="14">
        <f>IF(B333&gt;$K$9,"",IF(AND($D$8=Variables!$B$3,$D$12="SI",$D$19="NO",$D$13="SI",B333&gt;=7),(PMT(0.06/12,$K$9,-$C$33)-PMT(0.045/12,$K$9,-$C$33)),IF(AND($D$8=Variables!$B$5,$D$19="NO",$D$12="SI",$D$13="SI",B333&gt;12),(PMT(0.06/12,$K$9,-$C$45)-PMT(0.045/12,$K$9,-$C$45)),IF(AND($D$8=Variables!$B$4,$D$12="SI",$D$19="NO",$D$13="SI",$D$15="NO",B333&gt;18),(PMT(0.06/12,$K$9,-$C$51)-PMT(0.045/12,$K$9,-$C$51)),IF(AND($D$8=Variables!$B$4,$D$12="SI",$D$19="NO",$D$13="SI",$D$15="SI",B333&gt;24),(PMT(0.06/12,$K$9,-$C$57)-PMT(0.045/12,$K$9,-$C$57)),0)))))</f>
        <v>111.43825839224587</v>
      </c>
      <c r="G333" s="14">
        <f>+IF(B333&gt;$K$9,"",IF($D$8=Variables!$B$6,0.21*IPMT('Sim Reg N° 800'!$D$18,'Sim Reg N° 800'!B333,'Sim Reg N° 800'!$K$9,-'Sim Reg N° 800'!$J$10),0))+F333*0.21</f>
        <v>23.402034262371632</v>
      </c>
      <c r="H333" s="14">
        <f t="shared" si="26"/>
        <v>742.86266444567434</v>
      </c>
      <c r="I333" s="14">
        <f t="shared" si="24"/>
        <v>0</v>
      </c>
      <c r="J333" s="14">
        <f t="shared" si="25"/>
        <v>742.86266444567434</v>
      </c>
      <c r="K333" s="26">
        <f t="shared" si="27"/>
        <v>222.85879933370231</v>
      </c>
      <c r="L333" s="21"/>
      <c r="M333" s="19"/>
      <c r="R333" s="20"/>
    </row>
    <row r="334" spans="1:18" hidden="1" x14ac:dyDescent="0.2">
      <c r="A334" s="7"/>
      <c r="B334" s="42">
        <v>301</v>
      </c>
      <c r="C334" s="14">
        <f t="shared" si="23"/>
        <v>32128.223178295229</v>
      </c>
      <c r="D334" s="14">
        <f>IF(B334&gt;$K$9,"",IF($D$8=Variables!$B$3,PPMT($D$18,B334,$K$9,-$J$10),IF($D$8=Variables!$B$6,PPMT($D$18,B334,$K$9,-$J$10),IF($D$8=Variables!$B$5,PPMT($D$18,B334-12,$K$9-12,-$C$45),IF(AND($D$8=Variables!$B$4,$D$15="si"),0,PPMT($D$18,B334-18,$K$9-18,-$J$10-SUM($L$34:$L$51))))))+IF(AND($D$8=Variables!$B$4,'Sim Reg N° 800'!$D$15="SI"),PPMT($D$18,B334-24,$K$9-24,-$J$10-SUM($M$34:$M$57))))</f>
        <v>485.7200845553669</v>
      </c>
      <c r="E334" s="14">
        <f>IF(B334&gt;$K$9,"",IF($D$8=Variables!$B$3,IPMT($D$18,B334,$K$9,-$J$10),IF($D$8=Variables!$B$6,IPMT($D$18,B334,$K$9,-$J$10),IF($D$8=Variables!$B$5,IPMT($D$18,B334-12,$K$9-12,-$C$45),IF(AND($D$8=Variables!$B$4,$D$15="si"),0,IPMT($D$18,B334-18,$K$9-18,-$J$10-SUM($L$34:$L$51))))))+IF(AND($D$8=Variables!$B$4,'Sim Reg N° 800'!$D$15="SI"),IPMT($D$18,B334-24,$K$9-24,-$J$10-SUM($M$34:$M$57))))</f>
        <v>122.3022872356899</v>
      </c>
      <c r="F334" s="14">
        <f>IF(B334&gt;$K$9,"",IF(AND($D$8=Variables!$B$3,$D$12="SI",$D$19="NO",$D$13="SI",B334&gt;=7),(PMT(0.06/12,$K$9,-$C$33)-PMT(0.045/12,$K$9,-$C$33)),IF(AND($D$8=Variables!$B$5,$D$19="NO",$D$12="SI",$D$13="SI",B334&gt;12),(PMT(0.06/12,$K$9,-$C$45)-PMT(0.045/12,$K$9,-$C$45)),IF(AND($D$8=Variables!$B$4,$D$12="SI",$D$19="NO",$D$13="SI",$D$15="NO",B334&gt;18),(PMT(0.06/12,$K$9,-$C$51)-PMT(0.045/12,$K$9,-$C$51)),IF(AND($D$8=Variables!$B$4,$D$12="SI",$D$19="NO",$D$13="SI",$D$15="SI",B334&gt;24),(PMT(0.06/12,$K$9,-$C$57)-PMT(0.045/12,$K$9,-$C$57)),0)))))</f>
        <v>111.43825839224587</v>
      </c>
      <c r="G334" s="14">
        <f>+IF(B334&gt;$K$9,"",IF($D$8=Variables!$B$6,0.21*IPMT('Sim Reg N° 800'!$D$18,'Sim Reg N° 800'!B334,'Sim Reg N° 800'!$K$9,-'Sim Reg N° 800'!$J$10),0))+F334*0.21</f>
        <v>23.402034262371632</v>
      </c>
      <c r="H334" s="14">
        <f t="shared" si="26"/>
        <v>742.86266444567434</v>
      </c>
      <c r="I334" s="14">
        <f t="shared" si="24"/>
        <v>95.999999999999986</v>
      </c>
      <c r="J334" s="14">
        <f t="shared" si="25"/>
        <v>838.86266444567434</v>
      </c>
      <c r="K334" s="26">
        <f t="shared" si="27"/>
        <v>251.65879933370229</v>
      </c>
      <c r="L334" s="21"/>
      <c r="M334" s="19"/>
      <c r="R334" s="20"/>
    </row>
    <row r="335" spans="1:18" hidden="1" x14ac:dyDescent="0.2">
      <c r="A335" s="7"/>
      <c r="B335" s="42">
        <v>302</v>
      </c>
      <c r="C335" s="14">
        <f t="shared" si="23"/>
        <v>31640.68164342278</v>
      </c>
      <c r="D335" s="14">
        <f>IF(B335&gt;$K$9,"",IF($D$8=Variables!$B$3,PPMT($D$18,B335,$K$9,-$J$10),IF($D$8=Variables!$B$6,PPMT($D$18,B335,$K$9,-$J$10),IF($D$8=Variables!$B$5,PPMT($D$18,B335-12,$K$9-12,-$C$45),IF(AND($D$8=Variables!$B$4,$D$15="si"),0,PPMT($D$18,B335-18,$K$9-18,-$J$10-SUM($L$34:$L$51))))))+IF(AND($D$8=Variables!$B$4,'Sim Reg N° 800'!$D$15="SI"),PPMT($D$18,B335-24,$K$9-24,-$J$10-SUM($M$34:$M$57))))</f>
        <v>487.54153487244957</v>
      </c>
      <c r="E335" s="14">
        <f>IF(B335&gt;$K$9,"",IF($D$8=Variables!$B$3,IPMT($D$18,B335,$K$9,-$J$10),IF($D$8=Variables!$B$6,IPMT($D$18,B335,$K$9,-$J$10),IF($D$8=Variables!$B$5,IPMT($D$18,B335-12,$K$9-12,-$C$45),IF(AND($D$8=Variables!$B$4,$D$15="si"),0,IPMT($D$18,B335-18,$K$9-18,-$J$10-SUM($L$34:$L$51))))))+IF(AND($D$8=Variables!$B$4,'Sim Reg N° 800'!$D$15="SI"),IPMT($D$18,B335-24,$K$9-24,-$J$10-SUM($M$34:$M$57))))</f>
        <v>120.48083691860728</v>
      </c>
      <c r="F335" s="14">
        <f>IF(B335&gt;$K$9,"",IF(AND($D$8=Variables!$B$3,$D$12="SI",$D$19="NO",$D$13="SI",B335&gt;=7),(PMT(0.06/12,$K$9,-$C$33)-PMT(0.045/12,$K$9,-$C$33)),IF(AND($D$8=Variables!$B$5,$D$19="NO",$D$12="SI",$D$13="SI",B335&gt;12),(PMT(0.06/12,$K$9,-$C$45)-PMT(0.045/12,$K$9,-$C$45)),IF(AND($D$8=Variables!$B$4,$D$12="SI",$D$19="NO",$D$13="SI",$D$15="NO",B335&gt;18),(PMT(0.06/12,$K$9,-$C$51)-PMT(0.045/12,$K$9,-$C$51)),IF(AND($D$8=Variables!$B$4,$D$12="SI",$D$19="NO",$D$13="SI",$D$15="SI",B335&gt;24),(PMT(0.06/12,$K$9,-$C$57)-PMT(0.045/12,$K$9,-$C$57)),0)))))</f>
        <v>111.43825839224587</v>
      </c>
      <c r="G335" s="14">
        <f>+IF(B335&gt;$K$9,"",IF($D$8=Variables!$B$6,0.21*IPMT('Sim Reg N° 800'!$D$18,'Sim Reg N° 800'!B335,'Sim Reg N° 800'!$K$9,-'Sim Reg N° 800'!$J$10),0))+F335*0.21</f>
        <v>23.402034262371632</v>
      </c>
      <c r="H335" s="14">
        <f t="shared" si="26"/>
        <v>742.86266444567434</v>
      </c>
      <c r="I335" s="14">
        <f t="shared" si="24"/>
        <v>0</v>
      </c>
      <c r="J335" s="14">
        <f t="shared" si="25"/>
        <v>742.86266444567434</v>
      </c>
      <c r="K335" s="26">
        <f t="shared" si="27"/>
        <v>222.85879933370231</v>
      </c>
      <c r="L335" s="21"/>
      <c r="M335" s="19"/>
      <c r="R335" s="20"/>
    </row>
    <row r="336" spans="1:18" hidden="1" x14ac:dyDescent="0.2">
      <c r="A336" s="7"/>
      <c r="B336" s="42">
        <v>303</v>
      </c>
      <c r="C336" s="14">
        <f t="shared" si="23"/>
        <v>31151.311827794558</v>
      </c>
      <c r="D336" s="14">
        <f>IF(B336&gt;$K$9,"",IF($D$8=Variables!$B$3,PPMT($D$18,B336,$K$9,-$J$10),IF($D$8=Variables!$B$6,PPMT($D$18,B336,$K$9,-$J$10),IF($D$8=Variables!$B$5,PPMT($D$18,B336-12,$K$9-12,-$C$45),IF(AND($D$8=Variables!$B$4,$D$15="si"),0,PPMT($D$18,B336-18,$K$9-18,-$J$10-SUM($L$34:$L$51))))))+IF(AND($D$8=Variables!$B$4,'Sim Reg N° 800'!$D$15="SI"),PPMT($D$18,B336-24,$K$9-24,-$J$10-SUM($M$34:$M$57))))</f>
        <v>489.36981562822126</v>
      </c>
      <c r="E336" s="14">
        <f>IF(B336&gt;$K$9,"",IF($D$8=Variables!$B$3,IPMT($D$18,B336,$K$9,-$J$10),IF($D$8=Variables!$B$6,IPMT($D$18,B336,$K$9,-$J$10),IF($D$8=Variables!$B$5,IPMT($D$18,B336-12,$K$9-12,-$C$45),IF(AND($D$8=Variables!$B$4,$D$15="si"),0,IPMT($D$18,B336-18,$K$9-18,-$J$10-SUM($L$34:$L$51))))))+IF(AND($D$8=Variables!$B$4,'Sim Reg N° 800'!$D$15="SI"),IPMT($D$18,B336-24,$K$9-24,-$J$10-SUM($M$34:$M$57))))</f>
        <v>118.65255616283559</v>
      </c>
      <c r="F336" s="14">
        <f>IF(B336&gt;$K$9,"",IF(AND($D$8=Variables!$B$3,$D$12="SI",$D$19="NO",$D$13="SI",B336&gt;=7),(PMT(0.06/12,$K$9,-$C$33)-PMT(0.045/12,$K$9,-$C$33)),IF(AND($D$8=Variables!$B$5,$D$19="NO",$D$12="SI",$D$13="SI",B336&gt;12),(PMT(0.06/12,$K$9,-$C$45)-PMT(0.045/12,$K$9,-$C$45)),IF(AND($D$8=Variables!$B$4,$D$12="SI",$D$19="NO",$D$13="SI",$D$15="NO",B336&gt;18),(PMT(0.06/12,$K$9,-$C$51)-PMT(0.045/12,$K$9,-$C$51)),IF(AND($D$8=Variables!$B$4,$D$12="SI",$D$19="NO",$D$13="SI",$D$15="SI",B336&gt;24),(PMT(0.06/12,$K$9,-$C$57)-PMT(0.045/12,$K$9,-$C$57)),0)))))</f>
        <v>111.43825839224587</v>
      </c>
      <c r="G336" s="14">
        <f>+IF(B336&gt;$K$9,"",IF($D$8=Variables!$B$6,0.21*IPMT('Sim Reg N° 800'!$D$18,'Sim Reg N° 800'!B336,'Sim Reg N° 800'!$K$9,-'Sim Reg N° 800'!$J$10),0))+F336*0.21</f>
        <v>23.402034262371632</v>
      </c>
      <c r="H336" s="14">
        <f t="shared" si="26"/>
        <v>742.86266444567434</v>
      </c>
      <c r="I336" s="14">
        <f t="shared" si="24"/>
        <v>0</v>
      </c>
      <c r="J336" s="14">
        <f t="shared" si="25"/>
        <v>742.86266444567434</v>
      </c>
      <c r="K336" s="26">
        <f t="shared" si="27"/>
        <v>222.85879933370231</v>
      </c>
      <c r="L336" s="21"/>
      <c r="M336" s="19"/>
      <c r="R336" s="20"/>
    </row>
    <row r="337" spans="1:18" hidden="1" x14ac:dyDescent="0.2">
      <c r="A337" s="7"/>
      <c r="B337" s="42">
        <v>304</v>
      </c>
      <c r="C337" s="14">
        <f t="shared" si="23"/>
        <v>30660.106875357731</v>
      </c>
      <c r="D337" s="14">
        <f>IF(B337&gt;$K$9,"",IF($D$8=Variables!$B$3,PPMT($D$18,B337,$K$9,-$J$10),IF($D$8=Variables!$B$6,PPMT($D$18,B337,$K$9,-$J$10),IF($D$8=Variables!$B$5,PPMT($D$18,B337-12,$K$9-12,-$C$45),IF(AND($D$8=Variables!$B$4,$D$15="si"),0,PPMT($D$18,B337-18,$K$9-18,-$J$10-SUM($L$34:$L$51))))))+IF(AND($D$8=Variables!$B$4,'Sim Reg N° 800'!$D$15="SI"),PPMT($D$18,B337-24,$K$9-24,-$J$10-SUM($M$34:$M$57))))</f>
        <v>491.20495243682706</v>
      </c>
      <c r="E337" s="14">
        <f>IF(B337&gt;$K$9,"",IF($D$8=Variables!$B$3,IPMT($D$18,B337,$K$9,-$J$10),IF($D$8=Variables!$B$6,IPMT($D$18,B337,$K$9,-$J$10),IF($D$8=Variables!$B$5,IPMT($D$18,B337-12,$K$9-12,-$C$45),IF(AND($D$8=Variables!$B$4,$D$15="si"),0,IPMT($D$18,B337-18,$K$9-18,-$J$10-SUM($L$34:$L$51))))))+IF(AND($D$8=Variables!$B$4,'Sim Reg N° 800'!$D$15="SI"),IPMT($D$18,B337-24,$K$9-24,-$J$10-SUM($M$34:$M$57))))</f>
        <v>116.81741935422978</v>
      </c>
      <c r="F337" s="14">
        <f>IF(B337&gt;$K$9,"",IF(AND($D$8=Variables!$B$3,$D$12="SI",$D$19="NO",$D$13="SI",B337&gt;=7),(PMT(0.06/12,$K$9,-$C$33)-PMT(0.045/12,$K$9,-$C$33)),IF(AND($D$8=Variables!$B$5,$D$19="NO",$D$12="SI",$D$13="SI",B337&gt;12),(PMT(0.06/12,$K$9,-$C$45)-PMT(0.045/12,$K$9,-$C$45)),IF(AND($D$8=Variables!$B$4,$D$12="SI",$D$19="NO",$D$13="SI",$D$15="NO",B337&gt;18),(PMT(0.06/12,$K$9,-$C$51)-PMT(0.045/12,$K$9,-$C$51)),IF(AND($D$8=Variables!$B$4,$D$12="SI",$D$19="NO",$D$13="SI",$D$15="SI",B337&gt;24),(PMT(0.06/12,$K$9,-$C$57)-PMT(0.045/12,$K$9,-$C$57)),0)))))</f>
        <v>111.43825839224587</v>
      </c>
      <c r="G337" s="14">
        <f>+IF(B337&gt;$K$9,"",IF($D$8=Variables!$B$6,0.21*IPMT('Sim Reg N° 800'!$D$18,'Sim Reg N° 800'!B337,'Sim Reg N° 800'!$K$9,-'Sim Reg N° 800'!$J$10),0))+F337*0.21</f>
        <v>23.402034262371632</v>
      </c>
      <c r="H337" s="14">
        <f t="shared" si="26"/>
        <v>742.86266444567434</v>
      </c>
      <c r="I337" s="14">
        <f t="shared" si="24"/>
        <v>0</v>
      </c>
      <c r="J337" s="14">
        <f t="shared" si="25"/>
        <v>742.86266444567434</v>
      </c>
      <c r="K337" s="26">
        <f t="shared" si="27"/>
        <v>222.85879933370231</v>
      </c>
      <c r="L337" s="21"/>
      <c r="M337" s="19"/>
      <c r="R337" s="20"/>
    </row>
    <row r="338" spans="1:18" hidden="1" x14ac:dyDescent="0.2">
      <c r="A338" s="7"/>
      <c r="B338" s="42">
        <v>305</v>
      </c>
      <c r="C338" s="14">
        <f t="shared" si="23"/>
        <v>30167.059904349266</v>
      </c>
      <c r="D338" s="14">
        <f>IF(B338&gt;$K$9,"",IF($D$8=Variables!$B$3,PPMT($D$18,B338,$K$9,-$J$10),IF($D$8=Variables!$B$6,PPMT($D$18,B338,$K$9,-$J$10),IF($D$8=Variables!$B$5,PPMT($D$18,B338-12,$K$9-12,-$C$45),IF(AND($D$8=Variables!$B$4,$D$15="si"),0,PPMT($D$18,B338-18,$K$9-18,-$J$10-SUM($L$34:$L$51))))))+IF(AND($D$8=Variables!$B$4,'Sim Reg N° 800'!$D$15="SI"),PPMT($D$18,B338-24,$K$9-24,-$J$10-SUM($M$34:$M$57))))</f>
        <v>493.04697100846511</v>
      </c>
      <c r="E338" s="14">
        <f>IF(B338&gt;$K$9,"",IF($D$8=Variables!$B$3,IPMT($D$18,B338,$K$9,-$J$10),IF($D$8=Variables!$B$6,IPMT($D$18,B338,$K$9,-$J$10),IF($D$8=Variables!$B$5,IPMT($D$18,B338-12,$K$9-12,-$C$45),IF(AND($D$8=Variables!$B$4,$D$15="si"),0,IPMT($D$18,B338-18,$K$9-18,-$J$10-SUM($L$34:$L$51))))))+IF(AND($D$8=Variables!$B$4,'Sim Reg N° 800'!$D$15="SI"),IPMT($D$18,B338-24,$K$9-24,-$J$10-SUM($M$34:$M$57))))</f>
        <v>114.97540078259166</v>
      </c>
      <c r="F338" s="14">
        <f>IF(B338&gt;$K$9,"",IF(AND($D$8=Variables!$B$3,$D$12="SI",$D$19="NO",$D$13="SI",B338&gt;=7),(PMT(0.06/12,$K$9,-$C$33)-PMT(0.045/12,$K$9,-$C$33)),IF(AND($D$8=Variables!$B$5,$D$19="NO",$D$12="SI",$D$13="SI",B338&gt;12),(PMT(0.06/12,$K$9,-$C$45)-PMT(0.045/12,$K$9,-$C$45)),IF(AND($D$8=Variables!$B$4,$D$12="SI",$D$19="NO",$D$13="SI",$D$15="NO",B338&gt;18),(PMT(0.06/12,$K$9,-$C$51)-PMT(0.045/12,$K$9,-$C$51)),IF(AND($D$8=Variables!$B$4,$D$12="SI",$D$19="NO",$D$13="SI",$D$15="SI",B338&gt;24),(PMT(0.06/12,$K$9,-$C$57)-PMT(0.045/12,$K$9,-$C$57)),0)))))</f>
        <v>111.43825839224587</v>
      </c>
      <c r="G338" s="14">
        <f>+IF(B338&gt;$K$9,"",IF($D$8=Variables!$B$6,0.21*IPMT('Sim Reg N° 800'!$D$18,'Sim Reg N° 800'!B338,'Sim Reg N° 800'!$K$9,-'Sim Reg N° 800'!$J$10),0))+F338*0.21</f>
        <v>23.402034262371632</v>
      </c>
      <c r="H338" s="14">
        <f t="shared" si="26"/>
        <v>742.86266444567423</v>
      </c>
      <c r="I338" s="14">
        <f t="shared" si="24"/>
        <v>0</v>
      </c>
      <c r="J338" s="14">
        <f t="shared" si="25"/>
        <v>742.86266444567423</v>
      </c>
      <c r="K338" s="26">
        <f t="shared" si="27"/>
        <v>222.85879933370225</v>
      </c>
      <c r="L338" s="21"/>
      <c r="M338" s="19"/>
      <c r="R338" s="20"/>
    </row>
    <row r="339" spans="1:18" hidden="1" x14ac:dyDescent="0.2">
      <c r="A339" s="7"/>
      <c r="B339" s="42">
        <v>306</v>
      </c>
      <c r="C339" s="14">
        <f t="shared" si="23"/>
        <v>29672.164007199517</v>
      </c>
      <c r="D339" s="14">
        <f>IF(B339&gt;$K$9,"",IF($D$8=Variables!$B$3,PPMT($D$18,B339,$K$9,-$J$10),IF($D$8=Variables!$B$6,PPMT($D$18,B339,$K$9,-$J$10),IF($D$8=Variables!$B$5,PPMT($D$18,B339-12,$K$9-12,-$C$45),IF(AND($D$8=Variables!$B$4,$D$15="si"),0,PPMT($D$18,B339-18,$K$9-18,-$J$10-SUM($L$34:$L$51))))))+IF(AND($D$8=Variables!$B$4,'Sim Reg N° 800'!$D$15="SI"),PPMT($D$18,B339-24,$K$9-24,-$J$10-SUM($M$34:$M$57))))</f>
        <v>494.89589714974687</v>
      </c>
      <c r="E339" s="14">
        <f>IF(B339&gt;$K$9,"",IF($D$8=Variables!$B$3,IPMT($D$18,B339,$K$9,-$J$10),IF($D$8=Variables!$B$6,IPMT($D$18,B339,$K$9,-$J$10),IF($D$8=Variables!$B$5,IPMT($D$18,B339-12,$K$9-12,-$C$45),IF(AND($D$8=Variables!$B$4,$D$15="si"),0,IPMT($D$18,B339-18,$K$9-18,-$J$10-SUM($L$34:$L$51))))))+IF(AND($D$8=Variables!$B$4,'Sim Reg N° 800'!$D$15="SI"),IPMT($D$18,B339-24,$K$9-24,-$J$10-SUM($M$34:$M$57))))</f>
        <v>113.12647464130993</v>
      </c>
      <c r="F339" s="14">
        <f>IF(B339&gt;$K$9,"",IF(AND($D$8=Variables!$B$3,$D$12="SI",$D$19="NO",$D$13="SI",B339&gt;=7),(PMT(0.06/12,$K$9,-$C$33)-PMT(0.045/12,$K$9,-$C$33)),IF(AND($D$8=Variables!$B$5,$D$19="NO",$D$12="SI",$D$13="SI",B339&gt;12),(PMT(0.06/12,$K$9,-$C$45)-PMT(0.045/12,$K$9,-$C$45)),IF(AND($D$8=Variables!$B$4,$D$12="SI",$D$19="NO",$D$13="SI",$D$15="NO",B339&gt;18),(PMT(0.06/12,$K$9,-$C$51)-PMT(0.045/12,$K$9,-$C$51)),IF(AND($D$8=Variables!$B$4,$D$12="SI",$D$19="NO",$D$13="SI",$D$15="SI",B339&gt;24),(PMT(0.06/12,$K$9,-$C$57)-PMT(0.045/12,$K$9,-$C$57)),0)))))</f>
        <v>111.43825839224587</v>
      </c>
      <c r="G339" s="14">
        <f>+IF(B339&gt;$K$9,"",IF($D$8=Variables!$B$6,0.21*IPMT('Sim Reg N° 800'!$D$18,'Sim Reg N° 800'!B339,'Sim Reg N° 800'!$K$9,-'Sim Reg N° 800'!$J$10),0))+F339*0.21</f>
        <v>23.402034262371632</v>
      </c>
      <c r="H339" s="14">
        <f t="shared" si="26"/>
        <v>742.86266444567434</v>
      </c>
      <c r="I339" s="14">
        <f t="shared" si="24"/>
        <v>0</v>
      </c>
      <c r="J339" s="14">
        <f t="shared" si="25"/>
        <v>742.86266444567434</v>
      </c>
      <c r="K339" s="26">
        <f t="shared" si="27"/>
        <v>222.85879933370231</v>
      </c>
      <c r="L339" s="21"/>
      <c r="M339" s="19"/>
      <c r="R339" s="20"/>
    </row>
    <row r="340" spans="1:18" hidden="1" x14ac:dyDescent="0.2">
      <c r="A340" s="7"/>
      <c r="B340" s="42">
        <v>307</v>
      </c>
      <c r="C340" s="14">
        <f t="shared" si="23"/>
        <v>29175.41225043546</v>
      </c>
      <c r="D340" s="14">
        <f>IF(B340&gt;$K$9,"",IF($D$8=Variables!$B$3,PPMT($D$18,B340,$K$9,-$J$10),IF($D$8=Variables!$B$6,PPMT($D$18,B340,$K$9,-$J$10),IF($D$8=Variables!$B$5,PPMT($D$18,B340-12,$K$9-12,-$C$45),IF(AND($D$8=Variables!$B$4,$D$15="si"),0,PPMT($D$18,B340-18,$K$9-18,-$J$10-SUM($L$34:$L$51))))))+IF(AND($D$8=Variables!$B$4,'Sim Reg N° 800'!$D$15="SI"),PPMT($D$18,B340-24,$K$9-24,-$J$10-SUM($M$34:$M$57))))</f>
        <v>496.75175676405843</v>
      </c>
      <c r="E340" s="14">
        <f>IF(B340&gt;$K$9,"",IF($D$8=Variables!$B$3,IPMT($D$18,B340,$K$9,-$J$10),IF($D$8=Variables!$B$6,IPMT($D$18,B340,$K$9,-$J$10),IF($D$8=Variables!$B$5,IPMT($D$18,B340-12,$K$9-12,-$C$45),IF(AND($D$8=Variables!$B$4,$D$15="si"),0,IPMT($D$18,B340-18,$K$9-18,-$J$10-SUM($L$34:$L$51))))))+IF(AND($D$8=Variables!$B$4,'Sim Reg N° 800'!$D$15="SI"),IPMT($D$18,B340-24,$K$9-24,-$J$10-SUM($M$34:$M$57))))</f>
        <v>111.27061502699836</v>
      </c>
      <c r="F340" s="14">
        <f>IF(B340&gt;$K$9,"",IF(AND($D$8=Variables!$B$3,$D$12="SI",$D$19="NO",$D$13="SI",B340&gt;=7),(PMT(0.06/12,$K$9,-$C$33)-PMT(0.045/12,$K$9,-$C$33)),IF(AND($D$8=Variables!$B$5,$D$19="NO",$D$12="SI",$D$13="SI",B340&gt;12),(PMT(0.06/12,$K$9,-$C$45)-PMT(0.045/12,$K$9,-$C$45)),IF(AND($D$8=Variables!$B$4,$D$12="SI",$D$19="NO",$D$13="SI",$D$15="NO",B340&gt;18),(PMT(0.06/12,$K$9,-$C$51)-PMT(0.045/12,$K$9,-$C$51)),IF(AND($D$8=Variables!$B$4,$D$12="SI",$D$19="NO",$D$13="SI",$D$15="SI",B340&gt;24),(PMT(0.06/12,$K$9,-$C$57)-PMT(0.045/12,$K$9,-$C$57)),0)))))</f>
        <v>111.43825839224587</v>
      </c>
      <c r="G340" s="14">
        <f>+IF(B340&gt;$K$9,"",IF($D$8=Variables!$B$6,0.21*IPMT('Sim Reg N° 800'!$D$18,'Sim Reg N° 800'!B340,'Sim Reg N° 800'!$K$9,-'Sim Reg N° 800'!$J$10),0))+F340*0.21</f>
        <v>23.402034262371632</v>
      </c>
      <c r="H340" s="14">
        <f t="shared" si="26"/>
        <v>742.86266444567423</v>
      </c>
      <c r="I340" s="14">
        <f t="shared" si="24"/>
        <v>0</v>
      </c>
      <c r="J340" s="14">
        <f t="shared" si="25"/>
        <v>742.86266444567423</v>
      </c>
      <c r="K340" s="26">
        <f t="shared" si="27"/>
        <v>222.85879933370225</v>
      </c>
      <c r="L340" s="21"/>
      <c r="M340" s="19"/>
      <c r="R340" s="20"/>
    </row>
    <row r="341" spans="1:18" hidden="1" x14ac:dyDescent="0.2">
      <c r="A341" s="7"/>
      <c r="B341" s="42">
        <v>308</v>
      </c>
      <c r="C341" s="14">
        <f t="shared" si="23"/>
        <v>28676.797674583537</v>
      </c>
      <c r="D341" s="14">
        <f>IF(B341&gt;$K$9,"",IF($D$8=Variables!$B$3,PPMT($D$18,B341,$K$9,-$J$10),IF($D$8=Variables!$B$6,PPMT($D$18,B341,$K$9,-$J$10),IF($D$8=Variables!$B$5,PPMT($D$18,B341-12,$K$9-12,-$C$45),IF(AND($D$8=Variables!$B$4,$D$15="si"),0,PPMT($D$18,B341-18,$K$9-18,-$J$10-SUM($L$34:$L$51))))))+IF(AND($D$8=Variables!$B$4,'Sim Reg N° 800'!$D$15="SI"),PPMT($D$18,B341-24,$K$9-24,-$J$10-SUM($M$34:$M$57))))</f>
        <v>498.61457585192369</v>
      </c>
      <c r="E341" s="14">
        <f>IF(B341&gt;$K$9,"",IF($D$8=Variables!$B$3,IPMT($D$18,B341,$K$9,-$J$10),IF($D$8=Variables!$B$6,IPMT($D$18,B341,$K$9,-$J$10),IF($D$8=Variables!$B$5,IPMT($D$18,B341-12,$K$9-12,-$C$45),IF(AND($D$8=Variables!$B$4,$D$15="si"),0,IPMT($D$18,B341-18,$K$9-18,-$J$10-SUM($L$34:$L$51))))))+IF(AND($D$8=Variables!$B$4,'Sim Reg N° 800'!$D$15="SI"),IPMT($D$18,B341-24,$K$9-24,-$J$10-SUM($M$34:$M$57))))</f>
        <v>109.40779593913315</v>
      </c>
      <c r="F341" s="14">
        <f>IF(B341&gt;$K$9,"",IF(AND($D$8=Variables!$B$3,$D$12="SI",$D$19="NO",$D$13="SI",B341&gt;=7),(PMT(0.06/12,$K$9,-$C$33)-PMT(0.045/12,$K$9,-$C$33)),IF(AND($D$8=Variables!$B$5,$D$19="NO",$D$12="SI",$D$13="SI",B341&gt;12),(PMT(0.06/12,$K$9,-$C$45)-PMT(0.045/12,$K$9,-$C$45)),IF(AND($D$8=Variables!$B$4,$D$12="SI",$D$19="NO",$D$13="SI",$D$15="NO",B341&gt;18),(PMT(0.06/12,$K$9,-$C$51)-PMT(0.045/12,$K$9,-$C$51)),IF(AND($D$8=Variables!$B$4,$D$12="SI",$D$19="NO",$D$13="SI",$D$15="SI",B341&gt;24),(PMT(0.06/12,$K$9,-$C$57)-PMT(0.045/12,$K$9,-$C$57)),0)))))</f>
        <v>111.43825839224587</v>
      </c>
      <c r="G341" s="14">
        <f>+IF(B341&gt;$K$9,"",IF($D$8=Variables!$B$6,0.21*IPMT('Sim Reg N° 800'!$D$18,'Sim Reg N° 800'!B341,'Sim Reg N° 800'!$K$9,-'Sim Reg N° 800'!$J$10),0))+F341*0.21</f>
        <v>23.402034262371632</v>
      </c>
      <c r="H341" s="14">
        <f t="shared" si="26"/>
        <v>742.86266444567434</v>
      </c>
      <c r="I341" s="14">
        <f t="shared" si="24"/>
        <v>0</v>
      </c>
      <c r="J341" s="14">
        <f t="shared" si="25"/>
        <v>742.86266444567434</v>
      </c>
      <c r="K341" s="26">
        <f t="shared" si="27"/>
        <v>222.85879933370231</v>
      </c>
      <c r="L341" s="21"/>
      <c r="M341" s="19"/>
      <c r="R341" s="20"/>
    </row>
    <row r="342" spans="1:18" hidden="1" x14ac:dyDescent="0.2">
      <c r="A342" s="7"/>
      <c r="B342" s="42">
        <v>309</v>
      </c>
      <c r="C342" s="14">
        <f t="shared" si="23"/>
        <v>28176.31329407217</v>
      </c>
      <c r="D342" s="14">
        <f>IF(B342&gt;$K$9,"",IF($D$8=Variables!$B$3,PPMT($D$18,B342,$K$9,-$J$10),IF($D$8=Variables!$B$6,PPMT($D$18,B342,$K$9,-$J$10),IF($D$8=Variables!$B$5,PPMT($D$18,B342-12,$K$9-12,-$C$45),IF(AND($D$8=Variables!$B$4,$D$15="si"),0,PPMT($D$18,B342-18,$K$9-18,-$J$10-SUM($L$34:$L$51))))))+IF(AND($D$8=Variables!$B$4,'Sim Reg N° 800'!$D$15="SI"),PPMT($D$18,B342-24,$K$9-24,-$J$10-SUM($M$34:$M$57))))</f>
        <v>500.48438051136839</v>
      </c>
      <c r="E342" s="14">
        <f>IF(B342&gt;$K$9,"",IF($D$8=Variables!$B$3,IPMT($D$18,B342,$K$9,-$J$10),IF($D$8=Variables!$B$6,IPMT($D$18,B342,$K$9,-$J$10),IF($D$8=Variables!$B$5,IPMT($D$18,B342-12,$K$9-12,-$C$45),IF(AND($D$8=Variables!$B$4,$D$15="si"),0,IPMT($D$18,B342-18,$K$9-18,-$J$10-SUM($L$34:$L$51))))))+IF(AND($D$8=Variables!$B$4,'Sim Reg N° 800'!$D$15="SI"),IPMT($D$18,B342-24,$K$9-24,-$J$10-SUM($M$34:$M$57))))</f>
        <v>107.53799127968844</v>
      </c>
      <c r="F342" s="14">
        <f>IF(B342&gt;$K$9,"",IF(AND($D$8=Variables!$B$3,$D$12="SI",$D$19="NO",$D$13="SI",B342&gt;=7),(PMT(0.06/12,$K$9,-$C$33)-PMT(0.045/12,$K$9,-$C$33)),IF(AND($D$8=Variables!$B$5,$D$19="NO",$D$12="SI",$D$13="SI",B342&gt;12),(PMT(0.06/12,$K$9,-$C$45)-PMT(0.045/12,$K$9,-$C$45)),IF(AND($D$8=Variables!$B$4,$D$12="SI",$D$19="NO",$D$13="SI",$D$15="NO",B342&gt;18),(PMT(0.06/12,$K$9,-$C$51)-PMT(0.045/12,$K$9,-$C$51)),IF(AND($D$8=Variables!$B$4,$D$12="SI",$D$19="NO",$D$13="SI",$D$15="SI",B342&gt;24),(PMT(0.06/12,$K$9,-$C$57)-PMT(0.045/12,$K$9,-$C$57)),0)))))</f>
        <v>111.43825839224587</v>
      </c>
      <c r="G342" s="14">
        <f>+IF(B342&gt;$K$9,"",IF($D$8=Variables!$B$6,0.21*IPMT('Sim Reg N° 800'!$D$18,'Sim Reg N° 800'!B342,'Sim Reg N° 800'!$K$9,-'Sim Reg N° 800'!$J$10),0))+F342*0.21</f>
        <v>23.402034262371632</v>
      </c>
      <c r="H342" s="14">
        <f t="shared" si="26"/>
        <v>742.86266444567434</v>
      </c>
      <c r="I342" s="14">
        <f t="shared" si="24"/>
        <v>0</v>
      </c>
      <c r="J342" s="14">
        <f t="shared" si="25"/>
        <v>742.86266444567434</v>
      </c>
      <c r="K342" s="26">
        <f t="shared" si="27"/>
        <v>222.85879933370231</v>
      </c>
      <c r="L342" s="21"/>
      <c r="M342" s="19"/>
      <c r="R342" s="20"/>
    </row>
    <row r="343" spans="1:18" hidden="1" x14ac:dyDescent="0.2">
      <c r="A343" s="7"/>
      <c r="B343" s="42">
        <v>310</v>
      </c>
      <c r="C343" s="14">
        <f t="shared" si="23"/>
        <v>27673.952097133882</v>
      </c>
      <c r="D343" s="14">
        <f>IF(B343&gt;$K$9,"",IF($D$8=Variables!$B$3,PPMT($D$18,B343,$K$9,-$J$10),IF($D$8=Variables!$B$6,PPMT($D$18,B343,$K$9,-$J$10),IF($D$8=Variables!$B$5,PPMT($D$18,B343-12,$K$9-12,-$C$45),IF(AND($D$8=Variables!$B$4,$D$15="si"),0,PPMT($D$18,B343-18,$K$9-18,-$J$10-SUM($L$34:$L$51))))))+IF(AND($D$8=Variables!$B$4,'Sim Reg N° 800'!$D$15="SI"),PPMT($D$18,B343-24,$K$9-24,-$J$10-SUM($M$34:$M$57))))</f>
        <v>502.36119693828613</v>
      </c>
      <c r="E343" s="14">
        <f>IF(B343&gt;$K$9,"",IF($D$8=Variables!$B$3,IPMT($D$18,B343,$K$9,-$J$10),IF($D$8=Variables!$B$6,IPMT($D$18,B343,$K$9,-$J$10),IF($D$8=Variables!$B$5,IPMT($D$18,B343-12,$K$9-12,-$C$45),IF(AND($D$8=Variables!$B$4,$D$15="si"),0,IPMT($D$18,B343-18,$K$9-18,-$J$10-SUM($L$34:$L$51))))))+IF(AND($D$8=Variables!$B$4,'Sim Reg N° 800'!$D$15="SI"),IPMT($D$18,B343-24,$K$9-24,-$J$10-SUM($M$34:$M$57))))</f>
        <v>105.66117485277081</v>
      </c>
      <c r="F343" s="14">
        <f>IF(B343&gt;$K$9,"",IF(AND($D$8=Variables!$B$3,$D$12="SI",$D$19="NO",$D$13="SI",B343&gt;=7),(PMT(0.06/12,$K$9,-$C$33)-PMT(0.045/12,$K$9,-$C$33)),IF(AND($D$8=Variables!$B$5,$D$19="NO",$D$12="SI",$D$13="SI",B343&gt;12),(PMT(0.06/12,$K$9,-$C$45)-PMT(0.045/12,$K$9,-$C$45)),IF(AND($D$8=Variables!$B$4,$D$12="SI",$D$19="NO",$D$13="SI",$D$15="NO",B343&gt;18),(PMT(0.06/12,$K$9,-$C$51)-PMT(0.045/12,$K$9,-$C$51)),IF(AND($D$8=Variables!$B$4,$D$12="SI",$D$19="NO",$D$13="SI",$D$15="SI",B343&gt;24),(PMT(0.06/12,$K$9,-$C$57)-PMT(0.045/12,$K$9,-$C$57)),0)))))</f>
        <v>111.43825839224587</v>
      </c>
      <c r="G343" s="14">
        <f>+IF(B343&gt;$K$9,"",IF($D$8=Variables!$B$6,0.21*IPMT('Sim Reg N° 800'!$D$18,'Sim Reg N° 800'!B343,'Sim Reg N° 800'!$K$9,-'Sim Reg N° 800'!$J$10),0))+F343*0.21</f>
        <v>23.402034262371632</v>
      </c>
      <c r="H343" s="14">
        <f t="shared" si="26"/>
        <v>742.86266444567445</v>
      </c>
      <c r="I343" s="14">
        <f t="shared" si="24"/>
        <v>0</v>
      </c>
      <c r="J343" s="14">
        <f t="shared" si="25"/>
        <v>742.86266444567445</v>
      </c>
      <c r="K343" s="26">
        <f t="shared" si="27"/>
        <v>222.85879933370234</v>
      </c>
      <c r="L343" s="21"/>
      <c r="M343" s="19"/>
      <c r="R343" s="20"/>
    </row>
    <row r="344" spans="1:18" hidden="1" x14ac:dyDescent="0.2">
      <c r="A344" s="7"/>
      <c r="B344" s="42">
        <v>311</v>
      </c>
      <c r="C344" s="14">
        <f t="shared" si="23"/>
        <v>27169.707045707077</v>
      </c>
      <c r="D344" s="14">
        <f>IF(B344&gt;$K$9,"",IF($D$8=Variables!$B$3,PPMT($D$18,B344,$K$9,-$J$10),IF($D$8=Variables!$B$6,PPMT($D$18,B344,$K$9,-$J$10),IF($D$8=Variables!$B$5,PPMT($D$18,B344-12,$K$9-12,-$C$45),IF(AND($D$8=Variables!$B$4,$D$15="si"),0,PPMT($D$18,B344-18,$K$9-18,-$J$10-SUM($L$34:$L$51))))))+IF(AND($D$8=Variables!$B$4,'Sim Reg N° 800'!$D$15="SI"),PPMT($D$18,B344-24,$K$9-24,-$J$10-SUM($M$34:$M$57))))</f>
        <v>504.24505142680459</v>
      </c>
      <c r="E344" s="14">
        <f>IF(B344&gt;$K$9,"",IF($D$8=Variables!$B$3,IPMT($D$18,B344,$K$9,-$J$10),IF($D$8=Variables!$B$6,IPMT($D$18,B344,$K$9,-$J$10),IF($D$8=Variables!$B$5,IPMT($D$18,B344-12,$K$9-12,-$C$45),IF(AND($D$8=Variables!$B$4,$D$15="si"),0,IPMT($D$18,B344-18,$K$9-18,-$J$10-SUM($L$34:$L$51))))))+IF(AND($D$8=Variables!$B$4,'Sim Reg N° 800'!$D$15="SI"),IPMT($D$18,B344-24,$K$9-24,-$J$10-SUM($M$34:$M$57))))</f>
        <v>103.77732036425223</v>
      </c>
      <c r="F344" s="14">
        <f>IF(B344&gt;$K$9,"",IF(AND($D$8=Variables!$B$3,$D$12="SI",$D$19="NO",$D$13="SI",B344&gt;=7),(PMT(0.06/12,$K$9,-$C$33)-PMT(0.045/12,$K$9,-$C$33)),IF(AND($D$8=Variables!$B$5,$D$19="NO",$D$12="SI",$D$13="SI",B344&gt;12),(PMT(0.06/12,$K$9,-$C$45)-PMT(0.045/12,$K$9,-$C$45)),IF(AND($D$8=Variables!$B$4,$D$12="SI",$D$19="NO",$D$13="SI",$D$15="NO",B344&gt;18),(PMT(0.06/12,$K$9,-$C$51)-PMT(0.045/12,$K$9,-$C$51)),IF(AND($D$8=Variables!$B$4,$D$12="SI",$D$19="NO",$D$13="SI",$D$15="SI",B344&gt;24),(PMT(0.06/12,$K$9,-$C$57)-PMT(0.045/12,$K$9,-$C$57)),0)))))</f>
        <v>111.43825839224587</v>
      </c>
      <c r="G344" s="14">
        <f>+IF(B344&gt;$K$9,"",IF($D$8=Variables!$B$6,0.21*IPMT('Sim Reg N° 800'!$D$18,'Sim Reg N° 800'!B344,'Sim Reg N° 800'!$K$9,-'Sim Reg N° 800'!$J$10),0))+F344*0.21</f>
        <v>23.402034262371632</v>
      </c>
      <c r="H344" s="14">
        <f t="shared" si="26"/>
        <v>742.86266444567434</v>
      </c>
      <c r="I344" s="14">
        <f t="shared" si="24"/>
        <v>0</v>
      </c>
      <c r="J344" s="14">
        <f t="shared" si="25"/>
        <v>742.86266444567434</v>
      </c>
      <c r="K344" s="26">
        <f t="shared" si="27"/>
        <v>222.85879933370231</v>
      </c>
      <c r="L344" s="21"/>
      <c r="M344" s="19"/>
      <c r="R344" s="20"/>
    </row>
    <row r="345" spans="1:18" hidden="1" x14ac:dyDescent="0.2">
      <c r="A345" s="7"/>
      <c r="B345" s="42">
        <v>312</v>
      </c>
      <c r="C345" s="14">
        <f t="shared" si="23"/>
        <v>26663.571075337422</v>
      </c>
      <c r="D345" s="14">
        <f>IF(B345&gt;$K$9,"",IF($D$8=Variables!$B$3,PPMT($D$18,B345,$K$9,-$J$10),IF($D$8=Variables!$B$6,PPMT($D$18,B345,$K$9,-$J$10),IF($D$8=Variables!$B$5,PPMT($D$18,B345-12,$K$9-12,-$C$45),IF(AND($D$8=Variables!$B$4,$D$15="si"),0,PPMT($D$18,B345-18,$K$9-18,-$J$10-SUM($L$34:$L$51))))))+IF(AND($D$8=Variables!$B$4,'Sim Reg N° 800'!$D$15="SI"),PPMT($D$18,B345-24,$K$9-24,-$J$10-SUM($M$34:$M$57))))</f>
        <v>506.13597036965513</v>
      </c>
      <c r="E345" s="14">
        <f>IF(B345&gt;$K$9,"",IF($D$8=Variables!$B$3,IPMT($D$18,B345,$K$9,-$J$10),IF($D$8=Variables!$B$6,IPMT($D$18,B345,$K$9,-$J$10),IF($D$8=Variables!$B$5,IPMT($D$18,B345-12,$K$9-12,-$C$45),IF(AND($D$8=Variables!$B$4,$D$15="si"),0,IPMT($D$18,B345-18,$K$9-18,-$J$10-SUM($L$34:$L$51))))))+IF(AND($D$8=Variables!$B$4,'Sim Reg N° 800'!$D$15="SI"),IPMT($D$18,B345-24,$K$9-24,-$J$10-SUM($M$34:$M$57))))</f>
        <v>101.88640142140173</v>
      </c>
      <c r="F345" s="14">
        <f>IF(B345&gt;$K$9,"",IF(AND($D$8=Variables!$B$3,$D$12="SI",$D$19="NO",$D$13="SI",B345&gt;=7),(PMT(0.06/12,$K$9,-$C$33)-PMT(0.045/12,$K$9,-$C$33)),IF(AND($D$8=Variables!$B$5,$D$19="NO",$D$12="SI",$D$13="SI",B345&gt;12),(PMT(0.06/12,$K$9,-$C$45)-PMT(0.045/12,$K$9,-$C$45)),IF(AND($D$8=Variables!$B$4,$D$12="SI",$D$19="NO",$D$13="SI",$D$15="NO",B345&gt;18),(PMT(0.06/12,$K$9,-$C$51)-PMT(0.045/12,$K$9,-$C$51)),IF(AND($D$8=Variables!$B$4,$D$12="SI",$D$19="NO",$D$13="SI",$D$15="SI",B345&gt;24),(PMT(0.06/12,$K$9,-$C$57)-PMT(0.045/12,$K$9,-$C$57)),0)))))</f>
        <v>111.43825839224587</v>
      </c>
      <c r="G345" s="14">
        <f>+IF(B345&gt;$K$9,"",IF($D$8=Variables!$B$6,0.21*IPMT('Sim Reg N° 800'!$D$18,'Sim Reg N° 800'!B345,'Sim Reg N° 800'!$K$9,-'Sim Reg N° 800'!$J$10),0))+F345*0.21</f>
        <v>23.402034262371632</v>
      </c>
      <c r="H345" s="14">
        <f t="shared" si="26"/>
        <v>742.86266444567434</v>
      </c>
      <c r="I345" s="14">
        <f t="shared" si="24"/>
        <v>0</v>
      </c>
      <c r="J345" s="14">
        <f t="shared" si="25"/>
        <v>742.86266444567434</v>
      </c>
      <c r="K345" s="26">
        <f t="shared" si="27"/>
        <v>222.85879933370231</v>
      </c>
      <c r="L345" s="21"/>
      <c r="M345" s="19"/>
      <c r="R345" s="20"/>
    </row>
    <row r="346" spans="1:18" hidden="1" x14ac:dyDescent="0.2">
      <c r="A346" s="7"/>
      <c r="B346" s="42">
        <v>313</v>
      </c>
      <c r="C346" s="14">
        <f t="shared" si="23"/>
        <v>26155.537095078882</v>
      </c>
      <c r="D346" s="14">
        <f>IF(B346&gt;$K$9,"",IF($D$8=Variables!$B$3,PPMT($D$18,B346,$K$9,-$J$10),IF($D$8=Variables!$B$6,PPMT($D$18,B346,$K$9,-$J$10),IF($D$8=Variables!$B$5,PPMT($D$18,B346-12,$K$9-12,-$C$45),IF(AND($D$8=Variables!$B$4,$D$15="si"),0,PPMT($D$18,B346-18,$K$9-18,-$J$10-SUM($L$34:$L$51))))))+IF(AND($D$8=Variables!$B$4,'Sim Reg N° 800'!$D$15="SI"),PPMT($D$18,B346-24,$K$9-24,-$J$10-SUM($M$34:$M$57))))</f>
        <v>508.03398025854131</v>
      </c>
      <c r="E346" s="14">
        <f>IF(B346&gt;$K$9,"",IF($D$8=Variables!$B$3,IPMT($D$18,B346,$K$9,-$J$10),IF($D$8=Variables!$B$6,IPMT($D$18,B346,$K$9,-$J$10),IF($D$8=Variables!$B$5,IPMT($D$18,B346-12,$K$9-12,-$C$45),IF(AND($D$8=Variables!$B$4,$D$15="si"),0,IPMT($D$18,B346-18,$K$9-18,-$J$10-SUM($L$34:$L$51))))))+IF(AND($D$8=Variables!$B$4,'Sim Reg N° 800'!$D$15="SI"),IPMT($D$18,B346-24,$K$9-24,-$J$10-SUM($M$34:$M$57))))</f>
        <v>99.988391532515521</v>
      </c>
      <c r="F346" s="14">
        <f>IF(B346&gt;$K$9,"",IF(AND($D$8=Variables!$B$3,$D$12="SI",$D$19="NO",$D$13="SI",B346&gt;=7),(PMT(0.06/12,$K$9,-$C$33)-PMT(0.045/12,$K$9,-$C$33)),IF(AND($D$8=Variables!$B$5,$D$19="NO",$D$12="SI",$D$13="SI",B346&gt;12),(PMT(0.06/12,$K$9,-$C$45)-PMT(0.045/12,$K$9,-$C$45)),IF(AND($D$8=Variables!$B$4,$D$12="SI",$D$19="NO",$D$13="SI",$D$15="NO",B346&gt;18),(PMT(0.06/12,$K$9,-$C$51)-PMT(0.045/12,$K$9,-$C$51)),IF(AND($D$8=Variables!$B$4,$D$12="SI",$D$19="NO",$D$13="SI",$D$15="SI",B346&gt;24),(PMT(0.06/12,$K$9,-$C$57)-PMT(0.045/12,$K$9,-$C$57)),0)))))</f>
        <v>111.43825839224587</v>
      </c>
      <c r="G346" s="14">
        <f>+IF(B346&gt;$K$9,"",IF($D$8=Variables!$B$6,0.21*IPMT('Sim Reg N° 800'!$D$18,'Sim Reg N° 800'!B346,'Sim Reg N° 800'!$K$9,-'Sim Reg N° 800'!$J$10),0))+F346*0.21</f>
        <v>23.402034262371632</v>
      </c>
      <c r="H346" s="14">
        <f t="shared" si="26"/>
        <v>742.86266444567434</v>
      </c>
      <c r="I346" s="14">
        <f t="shared" si="24"/>
        <v>95.999999999999986</v>
      </c>
      <c r="J346" s="14">
        <f t="shared" si="25"/>
        <v>838.86266444567434</v>
      </c>
      <c r="K346" s="26">
        <f t="shared" si="27"/>
        <v>251.65879933370229</v>
      </c>
      <c r="L346" s="21"/>
      <c r="M346" s="19"/>
      <c r="R346" s="20"/>
    </row>
    <row r="347" spans="1:18" hidden="1" x14ac:dyDescent="0.2">
      <c r="A347" s="7"/>
      <c r="B347" s="42">
        <v>314</v>
      </c>
      <c r="C347" s="14">
        <f t="shared" si="23"/>
        <v>25645.597987394372</v>
      </c>
      <c r="D347" s="14">
        <f>IF(B347&gt;$K$9,"",IF($D$8=Variables!$B$3,PPMT($D$18,B347,$K$9,-$J$10),IF($D$8=Variables!$B$6,PPMT($D$18,B347,$K$9,-$J$10),IF($D$8=Variables!$B$5,PPMT($D$18,B347-12,$K$9-12,-$C$45),IF(AND($D$8=Variables!$B$4,$D$15="si"),0,PPMT($D$18,B347-18,$K$9-18,-$J$10-SUM($L$34:$L$51))))))+IF(AND($D$8=Variables!$B$4,'Sim Reg N° 800'!$D$15="SI"),PPMT($D$18,B347-24,$K$9-24,-$J$10-SUM($M$34:$M$57))))</f>
        <v>509.93910768451082</v>
      </c>
      <c r="E347" s="14">
        <f>IF(B347&gt;$K$9,"",IF($D$8=Variables!$B$3,IPMT($D$18,B347,$K$9,-$J$10),IF($D$8=Variables!$B$6,IPMT($D$18,B347,$K$9,-$J$10),IF($D$8=Variables!$B$5,IPMT($D$18,B347-12,$K$9-12,-$C$45),IF(AND($D$8=Variables!$B$4,$D$15="si"),0,IPMT($D$18,B347-18,$K$9-18,-$J$10-SUM($L$34:$L$51))))))+IF(AND($D$8=Variables!$B$4,'Sim Reg N° 800'!$D$15="SI"),IPMT($D$18,B347-24,$K$9-24,-$J$10-SUM($M$34:$M$57))))</f>
        <v>98.083264106545982</v>
      </c>
      <c r="F347" s="14">
        <f>IF(B347&gt;$K$9,"",IF(AND($D$8=Variables!$B$3,$D$12="SI",$D$19="NO",$D$13="SI",B347&gt;=7),(PMT(0.06/12,$K$9,-$C$33)-PMT(0.045/12,$K$9,-$C$33)),IF(AND($D$8=Variables!$B$5,$D$19="NO",$D$12="SI",$D$13="SI",B347&gt;12),(PMT(0.06/12,$K$9,-$C$45)-PMT(0.045/12,$K$9,-$C$45)),IF(AND($D$8=Variables!$B$4,$D$12="SI",$D$19="NO",$D$13="SI",$D$15="NO",B347&gt;18),(PMT(0.06/12,$K$9,-$C$51)-PMT(0.045/12,$K$9,-$C$51)),IF(AND($D$8=Variables!$B$4,$D$12="SI",$D$19="NO",$D$13="SI",$D$15="SI",B347&gt;24),(PMT(0.06/12,$K$9,-$C$57)-PMT(0.045/12,$K$9,-$C$57)),0)))))</f>
        <v>111.43825839224587</v>
      </c>
      <c r="G347" s="14">
        <f>+IF(B347&gt;$K$9,"",IF($D$8=Variables!$B$6,0.21*IPMT('Sim Reg N° 800'!$D$18,'Sim Reg N° 800'!B347,'Sim Reg N° 800'!$K$9,-'Sim Reg N° 800'!$J$10),0))+F347*0.21</f>
        <v>23.402034262371632</v>
      </c>
      <c r="H347" s="14">
        <f t="shared" si="26"/>
        <v>742.86266444567434</v>
      </c>
      <c r="I347" s="14">
        <f t="shared" si="24"/>
        <v>0</v>
      </c>
      <c r="J347" s="14">
        <f t="shared" si="25"/>
        <v>742.86266444567434</v>
      </c>
      <c r="K347" s="26">
        <f t="shared" si="27"/>
        <v>222.85879933370231</v>
      </c>
      <c r="L347" s="21"/>
      <c r="M347" s="19"/>
      <c r="R347" s="20"/>
    </row>
    <row r="348" spans="1:18" hidden="1" x14ac:dyDescent="0.2">
      <c r="A348" s="7"/>
      <c r="B348" s="42">
        <v>315</v>
      </c>
      <c r="C348" s="14">
        <f t="shared" si="23"/>
        <v>25133.746608056044</v>
      </c>
      <c r="D348" s="14">
        <f>IF(B348&gt;$K$9,"",IF($D$8=Variables!$B$3,PPMT($D$18,B348,$K$9,-$J$10),IF($D$8=Variables!$B$6,PPMT($D$18,B348,$K$9,-$J$10),IF($D$8=Variables!$B$5,PPMT($D$18,B348-12,$K$9-12,-$C$45),IF(AND($D$8=Variables!$B$4,$D$15="si"),0,PPMT($D$18,B348-18,$K$9-18,-$J$10-SUM($L$34:$L$51))))))+IF(AND($D$8=Variables!$B$4,'Sim Reg N° 800'!$D$15="SI"),PPMT($D$18,B348-24,$K$9-24,-$J$10-SUM($M$34:$M$57))))</f>
        <v>511.85137933832783</v>
      </c>
      <c r="E348" s="14">
        <f>IF(B348&gt;$K$9,"",IF($D$8=Variables!$B$3,IPMT($D$18,B348,$K$9,-$J$10),IF($D$8=Variables!$B$6,IPMT($D$18,B348,$K$9,-$J$10),IF($D$8=Variables!$B$5,IPMT($D$18,B348-12,$K$9-12,-$C$45),IF(AND($D$8=Variables!$B$4,$D$15="si"),0,IPMT($D$18,B348-18,$K$9-18,-$J$10-SUM($L$34:$L$51))))))+IF(AND($D$8=Variables!$B$4,'Sim Reg N° 800'!$D$15="SI"),IPMT($D$18,B348-24,$K$9-24,-$J$10-SUM($M$34:$M$57))))</f>
        <v>96.170992452729081</v>
      </c>
      <c r="F348" s="14">
        <f>IF(B348&gt;$K$9,"",IF(AND($D$8=Variables!$B$3,$D$12="SI",$D$19="NO",$D$13="SI",B348&gt;=7),(PMT(0.06/12,$K$9,-$C$33)-PMT(0.045/12,$K$9,-$C$33)),IF(AND($D$8=Variables!$B$5,$D$19="NO",$D$12="SI",$D$13="SI",B348&gt;12),(PMT(0.06/12,$K$9,-$C$45)-PMT(0.045/12,$K$9,-$C$45)),IF(AND($D$8=Variables!$B$4,$D$12="SI",$D$19="NO",$D$13="SI",$D$15="NO",B348&gt;18),(PMT(0.06/12,$K$9,-$C$51)-PMT(0.045/12,$K$9,-$C$51)),IF(AND($D$8=Variables!$B$4,$D$12="SI",$D$19="NO",$D$13="SI",$D$15="SI",B348&gt;24),(PMT(0.06/12,$K$9,-$C$57)-PMT(0.045/12,$K$9,-$C$57)),0)))))</f>
        <v>111.43825839224587</v>
      </c>
      <c r="G348" s="14">
        <f>+IF(B348&gt;$K$9,"",IF($D$8=Variables!$B$6,0.21*IPMT('Sim Reg N° 800'!$D$18,'Sim Reg N° 800'!B348,'Sim Reg N° 800'!$K$9,-'Sim Reg N° 800'!$J$10),0))+F348*0.21</f>
        <v>23.402034262371632</v>
      </c>
      <c r="H348" s="14">
        <f t="shared" si="26"/>
        <v>742.86266444567445</v>
      </c>
      <c r="I348" s="14">
        <f t="shared" si="24"/>
        <v>0</v>
      </c>
      <c r="J348" s="14">
        <f t="shared" si="25"/>
        <v>742.86266444567445</v>
      </c>
      <c r="K348" s="26">
        <f t="shared" si="27"/>
        <v>222.85879933370234</v>
      </c>
      <c r="L348" s="21"/>
      <c r="M348" s="19"/>
      <c r="R348" s="20"/>
    </row>
    <row r="349" spans="1:18" hidden="1" x14ac:dyDescent="0.2">
      <c r="A349" s="7"/>
      <c r="B349" s="42">
        <v>316</v>
      </c>
      <c r="C349" s="14">
        <f t="shared" si="23"/>
        <v>24619.975786045197</v>
      </c>
      <c r="D349" s="14">
        <f>IF(B349&gt;$K$9,"",IF($D$8=Variables!$B$3,PPMT($D$18,B349,$K$9,-$J$10),IF($D$8=Variables!$B$6,PPMT($D$18,B349,$K$9,-$J$10),IF($D$8=Variables!$B$5,PPMT($D$18,B349-12,$K$9-12,-$C$45),IF(AND($D$8=Variables!$B$4,$D$15="si"),0,PPMT($D$18,B349-18,$K$9-18,-$J$10-SUM($L$34:$L$51))))))+IF(AND($D$8=Variables!$B$4,'Sim Reg N° 800'!$D$15="SI"),PPMT($D$18,B349-24,$K$9-24,-$J$10-SUM($M$34:$M$57))))</f>
        <v>513.77082201084647</v>
      </c>
      <c r="E349" s="14">
        <f>IF(B349&gt;$K$9,"",IF($D$8=Variables!$B$3,IPMT($D$18,B349,$K$9,-$J$10),IF($D$8=Variables!$B$6,IPMT($D$18,B349,$K$9,-$J$10),IF($D$8=Variables!$B$5,IPMT($D$18,B349-12,$K$9-12,-$C$45),IF(AND($D$8=Variables!$B$4,$D$15="si"),0,IPMT($D$18,B349-18,$K$9-18,-$J$10-SUM($L$34:$L$51))))))+IF(AND($D$8=Variables!$B$4,'Sim Reg N° 800'!$D$15="SI"),IPMT($D$18,B349-24,$K$9-24,-$J$10-SUM($M$34:$M$57))))</f>
        <v>94.25154978021034</v>
      </c>
      <c r="F349" s="14">
        <f>IF(B349&gt;$K$9,"",IF(AND($D$8=Variables!$B$3,$D$12="SI",$D$19="NO",$D$13="SI",B349&gt;=7),(PMT(0.06/12,$K$9,-$C$33)-PMT(0.045/12,$K$9,-$C$33)),IF(AND($D$8=Variables!$B$5,$D$19="NO",$D$12="SI",$D$13="SI",B349&gt;12),(PMT(0.06/12,$K$9,-$C$45)-PMT(0.045/12,$K$9,-$C$45)),IF(AND($D$8=Variables!$B$4,$D$12="SI",$D$19="NO",$D$13="SI",$D$15="NO",B349&gt;18),(PMT(0.06/12,$K$9,-$C$51)-PMT(0.045/12,$K$9,-$C$51)),IF(AND($D$8=Variables!$B$4,$D$12="SI",$D$19="NO",$D$13="SI",$D$15="SI",B349&gt;24),(PMT(0.06/12,$K$9,-$C$57)-PMT(0.045/12,$K$9,-$C$57)),0)))))</f>
        <v>111.43825839224587</v>
      </c>
      <c r="G349" s="14">
        <f>+IF(B349&gt;$K$9,"",IF($D$8=Variables!$B$6,0.21*IPMT('Sim Reg N° 800'!$D$18,'Sim Reg N° 800'!B349,'Sim Reg N° 800'!$K$9,-'Sim Reg N° 800'!$J$10),0))+F349*0.21</f>
        <v>23.402034262371632</v>
      </c>
      <c r="H349" s="14">
        <f t="shared" si="26"/>
        <v>742.86266444567434</v>
      </c>
      <c r="I349" s="14">
        <f t="shared" si="24"/>
        <v>0</v>
      </c>
      <c r="J349" s="14">
        <f t="shared" si="25"/>
        <v>742.86266444567434</v>
      </c>
      <c r="K349" s="26">
        <f t="shared" si="27"/>
        <v>222.85879933370231</v>
      </c>
      <c r="L349" s="21"/>
      <c r="M349" s="19"/>
      <c r="R349" s="20"/>
    </row>
    <row r="350" spans="1:18" hidden="1" x14ac:dyDescent="0.2">
      <c r="A350" s="7"/>
      <c r="B350" s="42">
        <v>317</v>
      </c>
      <c r="C350" s="14">
        <f t="shared" ref="C350:C393" si="28">+IF(B350&gt;$K$9,"",(C349-D350))</f>
        <v>24104.27832345181</v>
      </c>
      <c r="D350" s="14">
        <f>IF(B350&gt;$K$9,"",IF($D$8=Variables!$B$3,PPMT($D$18,B350,$K$9,-$J$10),IF($D$8=Variables!$B$6,PPMT($D$18,B350,$K$9,-$J$10),IF($D$8=Variables!$B$5,PPMT($D$18,B350-12,$K$9-12,-$C$45),IF(AND($D$8=Variables!$B$4,$D$15="si"),0,PPMT($D$18,B350-18,$K$9-18,-$J$10-SUM($L$34:$L$51))))))+IF(AND($D$8=Variables!$B$4,'Sim Reg N° 800'!$D$15="SI"),PPMT($D$18,B350-24,$K$9-24,-$J$10-SUM($M$34:$M$57))))</f>
        <v>515.69746259338717</v>
      </c>
      <c r="E350" s="14">
        <f>IF(B350&gt;$K$9,"",IF($D$8=Variables!$B$3,IPMT($D$18,B350,$K$9,-$J$10),IF($D$8=Variables!$B$6,IPMT($D$18,B350,$K$9,-$J$10),IF($D$8=Variables!$B$5,IPMT($D$18,B350-12,$K$9-12,-$C$45),IF(AND($D$8=Variables!$B$4,$D$15="si"),0,IPMT($D$18,B350-18,$K$9-18,-$J$10-SUM($L$34:$L$51))))))+IF(AND($D$8=Variables!$B$4,'Sim Reg N° 800'!$D$15="SI"),IPMT($D$18,B350-24,$K$9-24,-$J$10-SUM($M$34:$M$57))))</f>
        <v>92.324909197669669</v>
      </c>
      <c r="F350" s="14">
        <f>IF(B350&gt;$K$9,"",IF(AND($D$8=Variables!$B$3,$D$12="SI",$D$19="NO",$D$13="SI",B350&gt;=7),(PMT(0.06/12,$K$9,-$C$33)-PMT(0.045/12,$K$9,-$C$33)),IF(AND($D$8=Variables!$B$5,$D$19="NO",$D$12="SI",$D$13="SI",B350&gt;12),(PMT(0.06/12,$K$9,-$C$45)-PMT(0.045/12,$K$9,-$C$45)),IF(AND($D$8=Variables!$B$4,$D$12="SI",$D$19="NO",$D$13="SI",$D$15="NO",B350&gt;18),(PMT(0.06/12,$K$9,-$C$51)-PMT(0.045/12,$K$9,-$C$51)),IF(AND($D$8=Variables!$B$4,$D$12="SI",$D$19="NO",$D$13="SI",$D$15="SI",B350&gt;24),(PMT(0.06/12,$K$9,-$C$57)-PMT(0.045/12,$K$9,-$C$57)),0)))))</f>
        <v>111.43825839224587</v>
      </c>
      <c r="G350" s="14">
        <f>+IF(B350&gt;$K$9,"",IF($D$8=Variables!$B$6,0.21*IPMT('Sim Reg N° 800'!$D$18,'Sim Reg N° 800'!B350,'Sim Reg N° 800'!$K$9,-'Sim Reg N° 800'!$J$10),0))+F350*0.21</f>
        <v>23.402034262371632</v>
      </c>
      <c r="H350" s="14">
        <f t="shared" si="26"/>
        <v>742.86266444567434</v>
      </c>
      <c r="I350" s="14">
        <f t="shared" ref="I350:I393" si="29">+IF(B350&gt;$K$9,"",I338)</f>
        <v>0</v>
      </c>
      <c r="J350" s="14">
        <f t="shared" ref="J350:J393" si="30">+IF(B350&gt;$K$9,"",I350+H350)</f>
        <v>742.86266444567434</v>
      </c>
      <c r="K350" s="26">
        <f t="shared" si="27"/>
        <v>222.85879933370231</v>
      </c>
      <c r="L350" s="21"/>
      <c r="M350" s="19"/>
      <c r="R350" s="20"/>
    </row>
    <row r="351" spans="1:18" hidden="1" x14ac:dyDescent="0.2">
      <c r="A351" s="7"/>
      <c r="B351" s="42">
        <v>318</v>
      </c>
      <c r="C351" s="14">
        <f t="shared" si="28"/>
        <v>23586.646995373696</v>
      </c>
      <c r="D351" s="14">
        <f>IF(B351&gt;$K$9,"",IF($D$8=Variables!$B$3,PPMT($D$18,B351,$K$9,-$J$10),IF($D$8=Variables!$B$6,PPMT($D$18,B351,$K$9,-$J$10),IF($D$8=Variables!$B$5,PPMT($D$18,B351-12,$K$9-12,-$C$45),IF(AND($D$8=Variables!$B$4,$D$15="si"),0,PPMT($D$18,B351-18,$K$9-18,-$J$10-SUM($L$34:$L$51))))))+IF(AND($D$8=Variables!$B$4,'Sim Reg N° 800'!$D$15="SI"),PPMT($D$18,B351-24,$K$9-24,-$J$10-SUM($M$34:$M$57))))</f>
        <v>517.63132807811246</v>
      </c>
      <c r="E351" s="14">
        <f>IF(B351&gt;$K$9,"",IF($D$8=Variables!$B$3,IPMT($D$18,B351,$K$9,-$J$10),IF($D$8=Variables!$B$6,IPMT($D$18,B351,$K$9,-$J$10),IF($D$8=Variables!$B$5,IPMT($D$18,B351-12,$K$9-12,-$C$45),IF(AND($D$8=Variables!$B$4,$D$15="si"),0,IPMT($D$18,B351-18,$K$9-18,-$J$10-SUM($L$34:$L$51))))))+IF(AND($D$8=Variables!$B$4,'Sim Reg N° 800'!$D$15="SI"),IPMT($D$18,B351-24,$K$9-24,-$J$10-SUM($M$34:$M$57))))</f>
        <v>90.391043712944466</v>
      </c>
      <c r="F351" s="14">
        <f>IF(B351&gt;$K$9,"",IF(AND($D$8=Variables!$B$3,$D$12="SI",$D$19="NO",$D$13="SI",B351&gt;=7),(PMT(0.06/12,$K$9,-$C$33)-PMT(0.045/12,$K$9,-$C$33)),IF(AND($D$8=Variables!$B$5,$D$19="NO",$D$12="SI",$D$13="SI",B351&gt;12),(PMT(0.06/12,$K$9,-$C$45)-PMT(0.045/12,$K$9,-$C$45)),IF(AND($D$8=Variables!$B$4,$D$12="SI",$D$19="NO",$D$13="SI",$D$15="NO",B351&gt;18),(PMT(0.06/12,$K$9,-$C$51)-PMT(0.045/12,$K$9,-$C$51)),IF(AND($D$8=Variables!$B$4,$D$12="SI",$D$19="NO",$D$13="SI",$D$15="SI",B351&gt;24),(PMT(0.06/12,$K$9,-$C$57)-PMT(0.045/12,$K$9,-$C$57)),0)))))</f>
        <v>111.43825839224587</v>
      </c>
      <c r="G351" s="14">
        <f>+IF(B351&gt;$K$9,"",IF($D$8=Variables!$B$6,0.21*IPMT('Sim Reg N° 800'!$D$18,'Sim Reg N° 800'!B351,'Sim Reg N° 800'!$K$9,-'Sim Reg N° 800'!$J$10),0))+F351*0.21</f>
        <v>23.402034262371632</v>
      </c>
      <c r="H351" s="14">
        <f t="shared" ref="H351:H393" si="31">IF(B351&gt;$K$9,"",(G351+E351+D351+F351))</f>
        <v>742.86266444567445</v>
      </c>
      <c r="I351" s="14">
        <f t="shared" si="29"/>
        <v>0</v>
      </c>
      <c r="J351" s="14">
        <f t="shared" si="30"/>
        <v>742.86266444567445</v>
      </c>
      <c r="K351" s="26">
        <f t="shared" si="27"/>
        <v>222.85879933370234</v>
      </c>
      <c r="L351" s="21"/>
      <c r="M351" s="19"/>
      <c r="R351" s="20"/>
    </row>
    <row r="352" spans="1:18" hidden="1" x14ac:dyDescent="0.2">
      <c r="A352" s="7"/>
      <c r="B352" s="42">
        <v>319</v>
      </c>
      <c r="C352" s="14">
        <f t="shared" si="28"/>
        <v>23067.07454981529</v>
      </c>
      <c r="D352" s="14">
        <f>IF(B352&gt;$K$9,"",IF($D$8=Variables!$B$3,PPMT($D$18,B352,$K$9,-$J$10),IF($D$8=Variables!$B$6,PPMT($D$18,B352,$K$9,-$J$10),IF($D$8=Variables!$B$5,PPMT($D$18,B352-12,$K$9-12,-$C$45),IF(AND($D$8=Variables!$B$4,$D$15="si"),0,PPMT($D$18,B352-18,$K$9-18,-$J$10-SUM($L$34:$L$51))))))+IF(AND($D$8=Variables!$B$4,'Sim Reg N° 800'!$D$15="SI"),PPMT($D$18,B352-24,$K$9-24,-$J$10-SUM($M$34:$M$57))))</f>
        <v>519.57244555840532</v>
      </c>
      <c r="E352" s="14">
        <f>IF(B352&gt;$K$9,"",IF($D$8=Variables!$B$3,IPMT($D$18,B352,$K$9,-$J$10),IF($D$8=Variables!$B$6,IPMT($D$18,B352,$K$9,-$J$10),IF($D$8=Variables!$B$5,IPMT($D$18,B352-12,$K$9-12,-$C$45),IF(AND($D$8=Variables!$B$4,$D$15="si"),0,IPMT($D$18,B352-18,$K$9-18,-$J$10-SUM($L$34:$L$51))))))+IF(AND($D$8=Variables!$B$4,'Sim Reg N° 800'!$D$15="SI"),IPMT($D$18,B352-24,$K$9-24,-$J$10-SUM($M$34:$M$57))))</f>
        <v>88.449926232651549</v>
      </c>
      <c r="F352" s="14">
        <f>IF(B352&gt;$K$9,"",IF(AND($D$8=Variables!$B$3,$D$12="SI",$D$19="NO",$D$13="SI",B352&gt;=7),(PMT(0.06/12,$K$9,-$C$33)-PMT(0.045/12,$K$9,-$C$33)),IF(AND($D$8=Variables!$B$5,$D$19="NO",$D$12="SI",$D$13="SI",B352&gt;12),(PMT(0.06/12,$K$9,-$C$45)-PMT(0.045/12,$K$9,-$C$45)),IF(AND($D$8=Variables!$B$4,$D$12="SI",$D$19="NO",$D$13="SI",$D$15="NO",B352&gt;18),(PMT(0.06/12,$K$9,-$C$51)-PMT(0.045/12,$K$9,-$C$51)),IF(AND($D$8=Variables!$B$4,$D$12="SI",$D$19="NO",$D$13="SI",$D$15="SI",B352&gt;24),(PMT(0.06/12,$K$9,-$C$57)-PMT(0.045/12,$K$9,-$C$57)),0)))))</f>
        <v>111.43825839224587</v>
      </c>
      <c r="G352" s="14">
        <f>+IF(B352&gt;$K$9,"",IF($D$8=Variables!$B$6,0.21*IPMT('Sim Reg N° 800'!$D$18,'Sim Reg N° 800'!B352,'Sim Reg N° 800'!$K$9,-'Sim Reg N° 800'!$J$10),0))+F352*0.21</f>
        <v>23.402034262371632</v>
      </c>
      <c r="H352" s="14">
        <f t="shared" si="31"/>
        <v>742.86266444567434</v>
      </c>
      <c r="I352" s="14">
        <f t="shared" si="29"/>
        <v>0</v>
      </c>
      <c r="J352" s="14">
        <f t="shared" si="30"/>
        <v>742.86266444567434</v>
      </c>
      <c r="K352" s="26">
        <f t="shared" si="27"/>
        <v>222.85879933370231</v>
      </c>
      <c r="L352" s="21"/>
      <c r="M352" s="19"/>
      <c r="R352" s="20"/>
    </row>
    <row r="353" spans="1:18" hidden="1" x14ac:dyDescent="0.2">
      <c r="A353" s="7"/>
      <c r="B353" s="42">
        <v>320</v>
      </c>
      <c r="C353" s="14">
        <f t="shared" si="28"/>
        <v>22545.553707586041</v>
      </c>
      <c r="D353" s="14">
        <f>IF(B353&gt;$K$9,"",IF($D$8=Variables!$B$3,PPMT($D$18,B353,$K$9,-$J$10),IF($D$8=Variables!$B$6,PPMT($D$18,B353,$K$9,-$J$10),IF($D$8=Variables!$B$5,PPMT($D$18,B353-12,$K$9-12,-$C$45),IF(AND($D$8=Variables!$B$4,$D$15="si"),0,PPMT($D$18,B353-18,$K$9-18,-$J$10-SUM($L$34:$L$51))))))+IF(AND($D$8=Variables!$B$4,'Sim Reg N° 800'!$D$15="SI"),PPMT($D$18,B353-24,$K$9-24,-$J$10-SUM($M$34:$M$57))))</f>
        <v>521.52084222924941</v>
      </c>
      <c r="E353" s="14">
        <f>IF(B353&gt;$K$9,"",IF($D$8=Variables!$B$3,IPMT($D$18,B353,$K$9,-$J$10),IF($D$8=Variables!$B$6,IPMT($D$18,B353,$K$9,-$J$10),IF($D$8=Variables!$B$5,IPMT($D$18,B353-12,$K$9-12,-$C$45),IF(AND($D$8=Variables!$B$4,$D$15="si"),0,IPMT($D$18,B353-18,$K$9-18,-$J$10-SUM($L$34:$L$51))))))+IF(AND($D$8=Variables!$B$4,'Sim Reg N° 800'!$D$15="SI"),IPMT($D$18,B353-24,$K$9-24,-$J$10-SUM($M$34:$M$57))))</f>
        <v>86.50152956180753</v>
      </c>
      <c r="F353" s="14">
        <f>IF(B353&gt;$K$9,"",IF(AND($D$8=Variables!$B$3,$D$12="SI",$D$19="NO",$D$13="SI",B353&gt;=7),(PMT(0.06/12,$K$9,-$C$33)-PMT(0.045/12,$K$9,-$C$33)),IF(AND($D$8=Variables!$B$5,$D$19="NO",$D$12="SI",$D$13="SI",B353&gt;12),(PMT(0.06/12,$K$9,-$C$45)-PMT(0.045/12,$K$9,-$C$45)),IF(AND($D$8=Variables!$B$4,$D$12="SI",$D$19="NO",$D$13="SI",$D$15="NO",B353&gt;18),(PMT(0.06/12,$K$9,-$C$51)-PMT(0.045/12,$K$9,-$C$51)),IF(AND($D$8=Variables!$B$4,$D$12="SI",$D$19="NO",$D$13="SI",$D$15="SI",B353&gt;24),(PMT(0.06/12,$K$9,-$C$57)-PMT(0.045/12,$K$9,-$C$57)),0)))))</f>
        <v>111.43825839224587</v>
      </c>
      <c r="G353" s="14">
        <f>+IF(B353&gt;$K$9,"",IF($D$8=Variables!$B$6,0.21*IPMT('Sim Reg N° 800'!$D$18,'Sim Reg N° 800'!B353,'Sim Reg N° 800'!$K$9,-'Sim Reg N° 800'!$J$10),0))+F353*0.21</f>
        <v>23.402034262371632</v>
      </c>
      <c r="H353" s="14">
        <f t="shared" si="31"/>
        <v>742.86266444567445</v>
      </c>
      <c r="I353" s="14">
        <f t="shared" si="29"/>
        <v>0</v>
      </c>
      <c r="J353" s="14">
        <f t="shared" si="30"/>
        <v>742.86266444567445</v>
      </c>
      <c r="K353" s="26">
        <f t="shared" si="27"/>
        <v>222.85879933370234</v>
      </c>
      <c r="L353" s="21"/>
      <c r="M353" s="19"/>
      <c r="R353" s="20"/>
    </row>
    <row r="354" spans="1:18" hidden="1" x14ac:dyDescent="0.2">
      <c r="A354" s="7"/>
      <c r="B354" s="42">
        <v>321</v>
      </c>
      <c r="C354" s="14">
        <f t="shared" si="28"/>
        <v>22022.077162198431</v>
      </c>
      <c r="D354" s="14">
        <f>IF(B354&gt;$K$9,"",IF($D$8=Variables!$B$3,PPMT($D$18,B354,$K$9,-$J$10),IF($D$8=Variables!$B$6,PPMT($D$18,B354,$K$9,-$J$10),IF($D$8=Variables!$B$5,PPMT($D$18,B354-12,$K$9-12,-$C$45),IF(AND($D$8=Variables!$B$4,$D$15="si"),0,PPMT($D$18,B354-18,$K$9-18,-$J$10-SUM($L$34:$L$51))))))+IF(AND($D$8=Variables!$B$4,'Sim Reg N° 800'!$D$15="SI"),PPMT($D$18,B354-24,$K$9-24,-$J$10-SUM($M$34:$M$57))))</f>
        <v>523.47654538760901</v>
      </c>
      <c r="E354" s="14">
        <f>IF(B354&gt;$K$9,"",IF($D$8=Variables!$B$3,IPMT($D$18,B354,$K$9,-$J$10),IF($D$8=Variables!$B$6,IPMT($D$18,B354,$K$9,-$J$10),IF($D$8=Variables!$B$5,IPMT($D$18,B354-12,$K$9-12,-$C$45),IF(AND($D$8=Variables!$B$4,$D$15="si"),0,IPMT($D$18,B354-18,$K$9-18,-$J$10-SUM($L$34:$L$51))))))+IF(AND($D$8=Variables!$B$4,'Sim Reg N° 800'!$D$15="SI"),IPMT($D$18,B354-24,$K$9-24,-$J$10-SUM($M$34:$M$57))))</f>
        <v>84.545826403447847</v>
      </c>
      <c r="F354" s="14">
        <f>IF(B354&gt;$K$9,"",IF(AND($D$8=Variables!$B$3,$D$12="SI",$D$19="NO",$D$13="SI",B354&gt;=7),(PMT(0.06/12,$K$9,-$C$33)-PMT(0.045/12,$K$9,-$C$33)),IF(AND($D$8=Variables!$B$5,$D$19="NO",$D$12="SI",$D$13="SI",B354&gt;12),(PMT(0.06/12,$K$9,-$C$45)-PMT(0.045/12,$K$9,-$C$45)),IF(AND($D$8=Variables!$B$4,$D$12="SI",$D$19="NO",$D$13="SI",$D$15="NO",B354&gt;18),(PMT(0.06/12,$K$9,-$C$51)-PMT(0.045/12,$K$9,-$C$51)),IF(AND($D$8=Variables!$B$4,$D$12="SI",$D$19="NO",$D$13="SI",$D$15="SI",B354&gt;24),(PMT(0.06/12,$K$9,-$C$57)-PMT(0.045/12,$K$9,-$C$57)),0)))))</f>
        <v>111.43825839224587</v>
      </c>
      <c r="G354" s="14">
        <f>+IF(B354&gt;$K$9,"",IF($D$8=Variables!$B$6,0.21*IPMT('Sim Reg N° 800'!$D$18,'Sim Reg N° 800'!B354,'Sim Reg N° 800'!$K$9,-'Sim Reg N° 800'!$J$10),0))+F354*0.21</f>
        <v>23.402034262371632</v>
      </c>
      <c r="H354" s="14">
        <f t="shared" si="31"/>
        <v>742.86266444567434</v>
      </c>
      <c r="I354" s="14">
        <f t="shared" si="29"/>
        <v>0</v>
      </c>
      <c r="J354" s="14">
        <f t="shared" si="30"/>
        <v>742.86266444567434</v>
      </c>
      <c r="K354" s="26">
        <f t="shared" si="27"/>
        <v>222.85879933370231</v>
      </c>
      <c r="L354" s="21"/>
      <c r="M354" s="19"/>
      <c r="R354" s="20"/>
    </row>
    <row r="355" spans="1:18" hidden="1" x14ac:dyDescent="0.2">
      <c r="A355" s="7"/>
      <c r="B355" s="42">
        <v>322</v>
      </c>
      <c r="C355" s="14">
        <f t="shared" si="28"/>
        <v>21496.637579765618</v>
      </c>
      <c r="D355" s="14">
        <f>IF(B355&gt;$K$9,"",IF($D$8=Variables!$B$3,PPMT($D$18,B355,$K$9,-$J$10),IF($D$8=Variables!$B$6,PPMT($D$18,B355,$K$9,-$J$10),IF($D$8=Variables!$B$5,PPMT($D$18,B355-12,$K$9-12,-$C$45),IF(AND($D$8=Variables!$B$4,$D$15="si"),0,PPMT($D$18,B355-18,$K$9-18,-$J$10-SUM($L$34:$L$51))))))+IF(AND($D$8=Variables!$B$4,'Sim Reg N° 800'!$D$15="SI"),PPMT($D$18,B355-24,$K$9-24,-$J$10-SUM($M$34:$M$57))))</f>
        <v>525.43958243281247</v>
      </c>
      <c r="E355" s="14">
        <f>IF(B355&gt;$K$9,"",IF($D$8=Variables!$B$3,IPMT($D$18,B355,$K$9,-$J$10),IF($D$8=Variables!$B$6,IPMT($D$18,B355,$K$9,-$J$10),IF($D$8=Variables!$B$5,IPMT($D$18,B355-12,$K$9-12,-$C$45),IF(AND($D$8=Variables!$B$4,$D$15="si"),0,IPMT($D$18,B355-18,$K$9-18,-$J$10-SUM($L$34:$L$51))))))+IF(AND($D$8=Variables!$B$4,'Sim Reg N° 800'!$D$15="SI"),IPMT($D$18,B355-24,$K$9-24,-$J$10-SUM($M$34:$M$57))))</f>
        <v>82.582789358244298</v>
      </c>
      <c r="F355" s="14">
        <f>IF(B355&gt;$K$9,"",IF(AND($D$8=Variables!$B$3,$D$12="SI",$D$19="NO",$D$13="SI",B355&gt;=7),(PMT(0.06/12,$K$9,-$C$33)-PMT(0.045/12,$K$9,-$C$33)),IF(AND($D$8=Variables!$B$5,$D$19="NO",$D$12="SI",$D$13="SI",B355&gt;12),(PMT(0.06/12,$K$9,-$C$45)-PMT(0.045/12,$K$9,-$C$45)),IF(AND($D$8=Variables!$B$4,$D$12="SI",$D$19="NO",$D$13="SI",$D$15="NO",B355&gt;18),(PMT(0.06/12,$K$9,-$C$51)-PMT(0.045/12,$K$9,-$C$51)),IF(AND($D$8=Variables!$B$4,$D$12="SI",$D$19="NO",$D$13="SI",$D$15="SI",B355&gt;24),(PMT(0.06/12,$K$9,-$C$57)-PMT(0.045/12,$K$9,-$C$57)),0)))))</f>
        <v>111.43825839224587</v>
      </c>
      <c r="G355" s="14">
        <f>+IF(B355&gt;$K$9,"",IF($D$8=Variables!$B$6,0.21*IPMT('Sim Reg N° 800'!$D$18,'Sim Reg N° 800'!B355,'Sim Reg N° 800'!$K$9,-'Sim Reg N° 800'!$J$10),0))+F355*0.21</f>
        <v>23.402034262371632</v>
      </c>
      <c r="H355" s="14">
        <f t="shared" si="31"/>
        <v>742.86266444567423</v>
      </c>
      <c r="I355" s="14">
        <f t="shared" si="29"/>
        <v>0</v>
      </c>
      <c r="J355" s="14">
        <f t="shared" si="30"/>
        <v>742.86266444567423</v>
      </c>
      <c r="K355" s="26">
        <f t="shared" ref="K355:K393" si="32">+IF(J355="","",J355*0.3)</f>
        <v>222.85879933370225</v>
      </c>
      <c r="L355" s="21"/>
      <c r="M355" s="19"/>
      <c r="R355" s="20"/>
    </row>
    <row r="356" spans="1:18" hidden="1" x14ac:dyDescent="0.2">
      <c r="A356" s="7"/>
      <c r="B356" s="42">
        <v>323</v>
      </c>
      <c r="C356" s="14">
        <f t="shared" si="28"/>
        <v>20969.227598898684</v>
      </c>
      <c r="D356" s="14">
        <f>IF(B356&gt;$K$9,"",IF($D$8=Variables!$B$3,PPMT($D$18,B356,$K$9,-$J$10),IF($D$8=Variables!$B$6,PPMT($D$18,B356,$K$9,-$J$10),IF($D$8=Variables!$B$5,PPMT($D$18,B356-12,$K$9-12,-$C$45),IF(AND($D$8=Variables!$B$4,$D$15="si"),0,PPMT($D$18,B356-18,$K$9-18,-$J$10-SUM($L$34:$L$51))))))+IF(AND($D$8=Variables!$B$4,'Sim Reg N° 800'!$D$15="SI"),PPMT($D$18,B356-24,$K$9-24,-$J$10-SUM($M$34:$M$57))))</f>
        <v>527.4099808669356</v>
      </c>
      <c r="E356" s="14">
        <f>IF(B356&gt;$K$9,"",IF($D$8=Variables!$B$3,IPMT($D$18,B356,$K$9,-$J$10),IF($D$8=Variables!$B$6,IPMT($D$18,B356,$K$9,-$J$10),IF($D$8=Variables!$B$5,IPMT($D$18,B356-12,$K$9-12,-$C$45),IF(AND($D$8=Variables!$B$4,$D$15="si"),0,IPMT($D$18,B356-18,$K$9-18,-$J$10-SUM($L$34:$L$51))))))+IF(AND($D$8=Variables!$B$4,'Sim Reg N° 800'!$D$15="SI"),IPMT($D$18,B356-24,$K$9-24,-$J$10-SUM($M$34:$M$57))))</f>
        <v>80.612390924121257</v>
      </c>
      <c r="F356" s="14">
        <f>IF(B356&gt;$K$9,"",IF(AND($D$8=Variables!$B$3,$D$12="SI",$D$19="NO",$D$13="SI",B356&gt;=7),(PMT(0.06/12,$K$9,-$C$33)-PMT(0.045/12,$K$9,-$C$33)),IF(AND($D$8=Variables!$B$5,$D$19="NO",$D$12="SI",$D$13="SI",B356&gt;12),(PMT(0.06/12,$K$9,-$C$45)-PMT(0.045/12,$K$9,-$C$45)),IF(AND($D$8=Variables!$B$4,$D$12="SI",$D$19="NO",$D$13="SI",$D$15="NO",B356&gt;18),(PMT(0.06/12,$K$9,-$C$51)-PMT(0.045/12,$K$9,-$C$51)),IF(AND($D$8=Variables!$B$4,$D$12="SI",$D$19="NO",$D$13="SI",$D$15="SI",B356&gt;24),(PMT(0.06/12,$K$9,-$C$57)-PMT(0.045/12,$K$9,-$C$57)),0)))))</f>
        <v>111.43825839224587</v>
      </c>
      <c r="G356" s="14">
        <f>+IF(B356&gt;$K$9,"",IF($D$8=Variables!$B$6,0.21*IPMT('Sim Reg N° 800'!$D$18,'Sim Reg N° 800'!B356,'Sim Reg N° 800'!$K$9,-'Sim Reg N° 800'!$J$10),0))+F356*0.21</f>
        <v>23.402034262371632</v>
      </c>
      <c r="H356" s="14">
        <f t="shared" si="31"/>
        <v>742.86266444567434</v>
      </c>
      <c r="I356" s="14">
        <f t="shared" si="29"/>
        <v>0</v>
      </c>
      <c r="J356" s="14">
        <f t="shared" si="30"/>
        <v>742.86266444567434</v>
      </c>
      <c r="K356" s="26">
        <f t="shared" si="32"/>
        <v>222.85879933370231</v>
      </c>
      <c r="L356" s="21"/>
      <c r="M356" s="19"/>
      <c r="R356" s="20"/>
    </row>
    <row r="357" spans="1:18" hidden="1" x14ac:dyDescent="0.2">
      <c r="A357" s="7"/>
      <c r="B357" s="42">
        <v>324</v>
      </c>
      <c r="C357" s="14">
        <f t="shared" si="28"/>
        <v>20439.839830603498</v>
      </c>
      <c r="D357" s="14">
        <f>IF(B357&gt;$K$9,"",IF($D$8=Variables!$B$3,PPMT($D$18,B357,$K$9,-$J$10),IF($D$8=Variables!$B$6,PPMT($D$18,B357,$K$9,-$J$10),IF($D$8=Variables!$B$5,PPMT($D$18,B357-12,$K$9-12,-$C$45),IF(AND($D$8=Variables!$B$4,$D$15="si"),0,PPMT($D$18,B357-18,$K$9-18,-$J$10-SUM($L$34:$L$51))))))+IF(AND($D$8=Variables!$B$4,'Sim Reg N° 800'!$D$15="SI"),PPMT($D$18,B357-24,$K$9-24,-$J$10-SUM($M$34:$M$57))))</f>
        <v>529.38776829518667</v>
      </c>
      <c r="E357" s="14">
        <f>IF(B357&gt;$K$9,"",IF($D$8=Variables!$B$3,IPMT($D$18,B357,$K$9,-$J$10),IF($D$8=Variables!$B$6,IPMT($D$18,B357,$K$9,-$J$10),IF($D$8=Variables!$B$5,IPMT($D$18,B357-12,$K$9-12,-$C$45),IF(AND($D$8=Variables!$B$4,$D$15="si"),0,IPMT($D$18,B357-18,$K$9-18,-$J$10-SUM($L$34:$L$51))))))+IF(AND($D$8=Variables!$B$4,'Sim Reg N° 800'!$D$15="SI"),IPMT($D$18,B357-24,$K$9-24,-$J$10-SUM($M$34:$M$57))))</f>
        <v>78.634603495870252</v>
      </c>
      <c r="F357" s="14">
        <f>IF(B357&gt;$K$9,"",IF(AND($D$8=Variables!$B$3,$D$12="SI",$D$19="NO",$D$13="SI",B357&gt;=7),(PMT(0.06/12,$K$9,-$C$33)-PMT(0.045/12,$K$9,-$C$33)),IF(AND($D$8=Variables!$B$5,$D$19="NO",$D$12="SI",$D$13="SI",B357&gt;12),(PMT(0.06/12,$K$9,-$C$45)-PMT(0.045/12,$K$9,-$C$45)),IF(AND($D$8=Variables!$B$4,$D$12="SI",$D$19="NO",$D$13="SI",$D$15="NO",B357&gt;18),(PMT(0.06/12,$K$9,-$C$51)-PMT(0.045/12,$K$9,-$C$51)),IF(AND($D$8=Variables!$B$4,$D$12="SI",$D$19="NO",$D$13="SI",$D$15="SI",B357&gt;24),(PMT(0.06/12,$K$9,-$C$57)-PMT(0.045/12,$K$9,-$C$57)),0)))))</f>
        <v>111.43825839224587</v>
      </c>
      <c r="G357" s="14">
        <f>+IF(B357&gt;$K$9,"",IF($D$8=Variables!$B$6,0.21*IPMT('Sim Reg N° 800'!$D$18,'Sim Reg N° 800'!B357,'Sim Reg N° 800'!$K$9,-'Sim Reg N° 800'!$J$10),0))+F357*0.21</f>
        <v>23.402034262371632</v>
      </c>
      <c r="H357" s="14">
        <f t="shared" si="31"/>
        <v>742.86266444567445</v>
      </c>
      <c r="I357" s="14">
        <f t="shared" si="29"/>
        <v>0</v>
      </c>
      <c r="J357" s="14">
        <f t="shared" si="30"/>
        <v>742.86266444567445</v>
      </c>
      <c r="K357" s="26">
        <f t="shared" si="32"/>
        <v>222.85879933370234</v>
      </c>
      <c r="L357" s="21"/>
      <c r="M357" s="19"/>
      <c r="R357" s="20"/>
    </row>
    <row r="358" spans="1:18" hidden="1" x14ac:dyDescent="0.2">
      <c r="A358" s="7"/>
      <c r="B358" s="42">
        <v>325</v>
      </c>
      <c r="C358" s="14">
        <f t="shared" si="28"/>
        <v>19908.466858177206</v>
      </c>
      <c r="D358" s="14">
        <f>IF(B358&gt;$K$9,"",IF($D$8=Variables!$B$3,PPMT($D$18,B358,$K$9,-$J$10),IF($D$8=Variables!$B$6,PPMT($D$18,B358,$K$9,-$J$10),IF($D$8=Variables!$B$5,PPMT($D$18,B358-12,$K$9-12,-$C$45),IF(AND($D$8=Variables!$B$4,$D$15="si"),0,PPMT($D$18,B358-18,$K$9-18,-$J$10-SUM($L$34:$L$51))))))+IF(AND($D$8=Variables!$B$4,'Sim Reg N° 800'!$D$15="SI"),PPMT($D$18,B358-24,$K$9-24,-$J$10-SUM($M$34:$M$57))))</f>
        <v>531.37297242629347</v>
      </c>
      <c r="E358" s="14">
        <f>IF(B358&gt;$K$9,"",IF($D$8=Variables!$B$3,IPMT($D$18,B358,$K$9,-$J$10),IF($D$8=Variables!$B$6,IPMT($D$18,B358,$K$9,-$J$10),IF($D$8=Variables!$B$5,IPMT($D$18,B358-12,$K$9-12,-$C$45),IF(AND($D$8=Variables!$B$4,$D$15="si"),0,IPMT($D$18,B358-18,$K$9-18,-$J$10-SUM($L$34:$L$51))))))+IF(AND($D$8=Variables!$B$4,'Sim Reg N° 800'!$D$15="SI"),IPMT($D$18,B358-24,$K$9-24,-$J$10-SUM($M$34:$M$57))))</f>
        <v>76.649399364763312</v>
      </c>
      <c r="F358" s="14">
        <f>IF(B358&gt;$K$9,"",IF(AND($D$8=Variables!$B$3,$D$12="SI",$D$19="NO",$D$13="SI",B358&gt;=7),(PMT(0.06/12,$K$9,-$C$33)-PMT(0.045/12,$K$9,-$C$33)),IF(AND($D$8=Variables!$B$5,$D$19="NO",$D$12="SI",$D$13="SI",B358&gt;12),(PMT(0.06/12,$K$9,-$C$45)-PMT(0.045/12,$K$9,-$C$45)),IF(AND($D$8=Variables!$B$4,$D$12="SI",$D$19="NO",$D$13="SI",$D$15="NO",B358&gt;18),(PMT(0.06/12,$K$9,-$C$51)-PMT(0.045/12,$K$9,-$C$51)),IF(AND($D$8=Variables!$B$4,$D$12="SI",$D$19="NO",$D$13="SI",$D$15="SI",B358&gt;24),(PMT(0.06/12,$K$9,-$C$57)-PMT(0.045/12,$K$9,-$C$57)),0)))))</f>
        <v>111.43825839224587</v>
      </c>
      <c r="G358" s="14">
        <f>+IF(B358&gt;$K$9,"",IF($D$8=Variables!$B$6,0.21*IPMT('Sim Reg N° 800'!$D$18,'Sim Reg N° 800'!B358,'Sim Reg N° 800'!$K$9,-'Sim Reg N° 800'!$J$10),0))+F358*0.21</f>
        <v>23.402034262371632</v>
      </c>
      <c r="H358" s="14">
        <f t="shared" si="31"/>
        <v>742.86266444567423</v>
      </c>
      <c r="I358" s="14">
        <f t="shared" si="29"/>
        <v>95.999999999999986</v>
      </c>
      <c r="J358" s="14">
        <f t="shared" si="30"/>
        <v>838.86266444567423</v>
      </c>
      <c r="K358" s="26">
        <f t="shared" si="32"/>
        <v>251.65879933370226</v>
      </c>
      <c r="L358" s="21"/>
      <c r="M358" s="19"/>
      <c r="R358" s="20"/>
    </row>
    <row r="359" spans="1:18" hidden="1" x14ac:dyDescent="0.2">
      <c r="A359" s="7"/>
      <c r="B359" s="42">
        <v>326</v>
      </c>
      <c r="C359" s="14">
        <f t="shared" si="28"/>
        <v>19375.101237104314</v>
      </c>
      <c r="D359" s="14">
        <f>IF(B359&gt;$K$9,"",IF($D$8=Variables!$B$3,PPMT($D$18,B359,$K$9,-$J$10),IF($D$8=Variables!$B$6,PPMT($D$18,B359,$K$9,-$J$10),IF($D$8=Variables!$B$5,PPMT($D$18,B359-12,$K$9-12,-$C$45),IF(AND($D$8=Variables!$B$4,$D$15="si"),0,PPMT($D$18,B359-18,$K$9-18,-$J$10-SUM($L$34:$L$51))))))+IF(AND($D$8=Variables!$B$4,'Sim Reg N° 800'!$D$15="SI"),PPMT($D$18,B359-24,$K$9-24,-$J$10-SUM($M$34:$M$57))))</f>
        <v>533.36562107289217</v>
      </c>
      <c r="E359" s="14">
        <f>IF(B359&gt;$K$9,"",IF($D$8=Variables!$B$3,IPMT($D$18,B359,$K$9,-$J$10),IF($D$8=Variables!$B$6,IPMT($D$18,B359,$K$9,-$J$10),IF($D$8=Variables!$B$5,IPMT($D$18,B359-12,$K$9-12,-$C$45),IF(AND($D$8=Variables!$B$4,$D$15="si"),0,IPMT($D$18,B359-18,$K$9-18,-$J$10-SUM($L$34:$L$51))))))+IF(AND($D$8=Variables!$B$4,'Sim Reg N° 800'!$D$15="SI"),IPMT($D$18,B359-24,$K$9-24,-$J$10-SUM($M$34:$M$57))))</f>
        <v>74.656750718164716</v>
      </c>
      <c r="F359" s="14">
        <f>IF(B359&gt;$K$9,"",IF(AND($D$8=Variables!$B$3,$D$12="SI",$D$19="NO",$D$13="SI",B359&gt;=7),(PMT(0.06/12,$K$9,-$C$33)-PMT(0.045/12,$K$9,-$C$33)),IF(AND($D$8=Variables!$B$5,$D$19="NO",$D$12="SI",$D$13="SI",B359&gt;12),(PMT(0.06/12,$K$9,-$C$45)-PMT(0.045/12,$K$9,-$C$45)),IF(AND($D$8=Variables!$B$4,$D$12="SI",$D$19="NO",$D$13="SI",$D$15="NO",B359&gt;18),(PMT(0.06/12,$K$9,-$C$51)-PMT(0.045/12,$K$9,-$C$51)),IF(AND($D$8=Variables!$B$4,$D$12="SI",$D$19="NO",$D$13="SI",$D$15="SI",B359&gt;24),(PMT(0.06/12,$K$9,-$C$57)-PMT(0.045/12,$K$9,-$C$57)),0)))))</f>
        <v>111.43825839224587</v>
      </c>
      <c r="G359" s="14">
        <f>+IF(B359&gt;$K$9,"",IF($D$8=Variables!$B$6,0.21*IPMT('Sim Reg N° 800'!$D$18,'Sim Reg N° 800'!B359,'Sim Reg N° 800'!$K$9,-'Sim Reg N° 800'!$J$10),0))+F359*0.21</f>
        <v>23.402034262371632</v>
      </c>
      <c r="H359" s="14">
        <f t="shared" si="31"/>
        <v>742.86266444567434</v>
      </c>
      <c r="I359" s="14">
        <f t="shared" si="29"/>
        <v>0</v>
      </c>
      <c r="J359" s="14">
        <f t="shared" si="30"/>
        <v>742.86266444567434</v>
      </c>
      <c r="K359" s="26">
        <f t="shared" si="32"/>
        <v>222.85879933370231</v>
      </c>
      <c r="L359" s="21"/>
      <c r="M359" s="19"/>
      <c r="R359" s="20"/>
    </row>
    <row r="360" spans="1:18" hidden="1" x14ac:dyDescent="0.2">
      <c r="A360" s="7"/>
      <c r="B360" s="42">
        <v>327</v>
      </c>
      <c r="C360" s="14">
        <f t="shared" si="28"/>
        <v>18839.735494952398</v>
      </c>
      <c r="D360" s="14">
        <f>IF(B360&gt;$K$9,"",IF($D$8=Variables!$B$3,PPMT($D$18,B360,$K$9,-$J$10),IF($D$8=Variables!$B$6,PPMT($D$18,B360,$K$9,-$J$10),IF($D$8=Variables!$B$5,PPMT($D$18,B360-12,$K$9-12,-$C$45),IF(AND($D$8=Variables!$B$4,$D$15="si"),0,PPMT($D$18,B360-18,$K$9-18,-$J$10-SUM($L$34:$L$51))))))+IF(AND($D$8=Variables!$B$4,'Sim Reg N° 800'!$D$15="SI"),PPMT($D$18,B360-24,$K$9-24,-$J$10-SUM($M$34:$M$57))))</f>
        <v>535.36574215191547</v>
      </c>
      <c r="E360" s="14">
        <f>IF(B360&gt;$K$9,"",IF($D$8=Variables!$B$3,IPMT($D$18,B360,$K$9,-$J$10),IF($D$8=Variables!$B$6,IPMT($D$18,B360,$K$9,-$J$10),IF($D$8=Variables!$B$5,IPMT($D$18,B360-12,$K$9-12,-$C$45),IF(AND($D$8=Variables!$B$4,$D$15="si"),0,IPMT($D$18,B360-18,$K$9-18,-$J$10-SUM($L$34:$L$51))))))+IF(AND($D$8=Variables!$B$4,'Sim Reg N° 800'!$D$15="SI"),IPMT($D$18,B360-24,$K$9-24,-$J$10-SUM($M$34:$M$57))))</f>
        <v>72.656629639141357</v>
      </c>
      <c r="F360" s="14">
        <f>IF(B360&gt;$K$9,"",IF(AND($D$8=Variables!$B$3,$D$12="SI",$D$19="NO",$D$13="SI",B360&gt;=7),(PMT(0.06/12,$K$9,-$C$33)-PMT(0.045/12,$K$9,-$C$33)),IF(AND($D$8=Variables!$B$5,$D$19="NO",$D$12="SI",$D$13="SI",B360&gt;12),(PMT(0.06/12,$K$9,-$C$45)-PMT(0.045/12,$K$9,-$C$45)),IF(AND($D$8=Variables!$B$4,$D$12="SI",$D$19="NO",$D$13="SI",$D$15="NO",B360&gt;18),(PMT(0.06/12,$K$9,-$C$51)-PMT(0.045/12,$K$9,-$C$51)),IF(AND($D$8=Variables!$B$4,$D$12="SI",$D$19="NO",$D$13="SI",$D$15="SI",B360&gt;24),(PMT(0.06/12,$K$9,-$C$57)-PMT(0.045/12,$K$9,-$C$57)),0)))))</f>
        <v>111.43825839224587</v>
      </c>
      <c r="G360" s="14">
        <f>+IF(B360&gt;$K$9,"",IF($D$8=Variables!$B$6,0.21*IPMT('Sim Reg N° 800'!$D$18,'Sim Reg N° 800'!B360,'Sim Reg N° 800'!$K$9,-'Sim Reg N° 800'!$J$10),0))+F360*0.21</f>
        <v>23.402034262371632</v>
      </c>
      <c r="H360" s="14">
        <f t="shared" si="31"/>
        <v>742.86266444567434</v>
      </c>
      <c r="I360" s="14">
        <f t="shared" si="29"/>
        <v>0</v>
      </c>
      <c r="J360" s="14">
        <f t="shared" si="30"/>
        <v>742.86266444567434</v>
      </c>
      <c r="K360" s="26">
        <f t="shared" si="32"/>
        <v>222.85879933370231</v>
      </c>
      <c r="L360" s="21"/>
      <c r="M360" s="19"/>
      <c r="R360" s="20"/>
    </row>
    <row r="361" spans="1:18" hidden="1" x14ac:dyDescent="0.2">
      <c r="A361" s="7"/>
      <c r="B361" s="42">
        <v>328</v>
      </c>
      <c r="C361" s="14">
        <f t="shared" si="28"/>
        <v>18302.362131267411</v>
      </c>
      <c r="D361" s="14">
        <f>IF(B361&gt;$K$9,"",IF($D$8=Variables!$B$3,PPMT($D$18,B361,$K$9,-$J$10),IF($D$8=Variables!$B$6,PPMT($D$18,B361,$K$9,-$J$10),IF($D$8=Variables!$B$5,PPMT($D$18,B361-12,$K$9-12,-$C$45),IF(AND($D$8=Variables!$B$4,$D$15="si"),0,PPMT($D$18,B361-18,$K$9-18,-$J$10-SUM($L$34:$L$51))))))+IF(AND($D$8=Variables!$B$4,'Sim Reg N° 800'!$D$15="SI"),PPMT($D$18,B361-24,$K$9-24,-$J$10-SUM($M$34:$M$57))))</f>
        <v>537.37336368498518</v>
      </c>
      <c r="E361" s="14">
        <f>IF(B361&gt;$K$9,"",IF($D$8=Variables!$B$3,IPMT($D$18,B361,$K$9,-$J$10),IF($D$8=Variables!$B$6,IPMT($D$18,B361,$K$9,-$J$10),IF($D$8=Variables!$B$5,IPMT($D$18,B361-12,$K$9-12,-$C$45),IF(AND($D$8=Variables!$B$4,$D$15="si"),0,IPMT($D$18,B361-18,$K$9-18,-$J$10-SUM($L$34:$L$51))))))+IF(AND($D$8=Variables!$B$4,'Sim Reg N° 800'!$D$15="SI"),IPMT($D$18,B361-24,$K$9-24,-$J$10-SUM($M$34:$M$57))))</f>
        <v>70.649008106071662</v>
      </c>
      <c r="F361" s="14">
        <f>IF(B361&gt;$K$9,"",IF(AND($D$8=Variables!$B$3,$D$12="SI",$D$19="NO",$D$13="SI",B361&gt;=7),(PMT(0.06/12,$K$9,-$C$33)-PMT(0.045/12,$K$9,-$C$33)),IF(AND($D$8=Variables!$B$5,$D$19="NO",$D$12="SI",$D$13="SI",B361&gt;12),(PMT(0.06/12,$K$9,-$C$45)-PMT(0.045/12,$K$9,-$C$45)),IF(AND($D$8=Variables!$B$4,$D$12="SI",$D$19="NO",$D$13="SI",$D$15="NO",B361&gt;18),(PMT(0.06/12,$K$9,-$C$51)-PMT(0.045/12,$K$9,-$C$51)),IF(AND($D$8=Variables!$B$4,$D$12="SI",$D$19="NO",$D$13="SI",$D$15="SI",B361&gt;24),(PMT(0.06/12,$K$9,-$C$57)-PMT(0.045/12,$K$9,-$C$57)),0)))))</f>
        <v>111.43825839224587</v>
      </c>
      <c r="G361" s="14">
        <f>+IF(B361&gt;$K$9,"",IF($D$8=Variables!$B$6,0.21*IPMT('Sim Reg N° 800'!$D$18,'Sim Reg N° 800'!B361,'Sim Reg N° 800'!$K$9,-'Sim Reg N° 800'!$J$10),0))+F361*0.21</f>
        <v>23.402034262371632</v>
      </c>
      <c r="H361" s="14">
        <f t="shared" si="31"/>
        <v>742.86266444567434</v>
      </c>
      <c r="I361" s="14">
        <f t="shared" si="29"/>
        <v>0</v>
      </c>
      <c r="J361" s="14">
        <f t="shared" si="30"/>
        <v>742.86266444567434</v>
      </c>
      <c r="K361" s="26">
        <f t="shared" si="32"/>
        <v>222.85879933370231</v>
      </c>
      <c r="L361" s="21"/>
      <c r="M361" s="19"/>
      <c r="R361" s="20"/>
    </row>
    <row r="362" spans="1:18" hidden="1" x14ac:dyDescent="0.2">
      <c r="A362" s="7"/>
      <c r="B362" s="42">
        <v>329</v>
      </c>
      <c r="C362" s="14">
        <f t="shared" si="28"/>
        <v>17762.973617468608</v>
      </c>
      <c r="D362" s="14">
        <f>IF(B362&gt;$K$9,"",IF($D$8=Variables!$B$3,PPMT($D$18,B362,$K$9,-$J$10),IF($D$8=Variables!$B$6,PPMT($D$18,B362,$K$9,-$J$10),IF($D$8=Variables!$B$5,PPMT($D$18,B362-12,$K$9-12,-$C$45),IF(AND($D$8=Variables!$B$4,$D$15="si"),0,PPMT($D$18,B362-18,$K$9-18,-$J$10-SUM($L$34:$L$51))))))+IF(AND($D$8=Variables!$B$4,'Sim Reg N° 800'!$D$15="SI"),PPMT($D$18,B362-24,$K$9-24,-$J$10-SUM($M$34:$M$57))))</f>
        <v>539.38851379880384</v>
      </c>
      <c r="E362" s="14">
        <f>IF(B362&gt;$K$9,"",IF($D$8=Variables!$B$3,IPMT($D$18,B362,$K$9,-$J$10),IF($D$8=Variables!$B$6,IPMT($D$18,B362,$K$9,-$J$10),IF($D$8=Variables!$B$5,IPMT($D$18,B362-12,$K$9-12,-$C$45),IF(AND($D$8=Variables!$B$4,$D$15="si"),0,IPMT($D$18,B362-18,$K$9-18,-$J$10-SUM($L$34:$L$51))))))+IF(AND($D$8=Variables!$B$4,'Sim Reg N° 800'!$D$15="SI"),IPMT($D$18,B362-24,$K$9-24,-$J$10-SUM($M$34:$M$57))))</f>
        <v>68.633857992252985</v>
      </c>
      <c r="F362" s="14">
        <f>IF(B362&gt;$K$9,"",IF(AND($D$8=Variables!$B$3,$D$12="SI",$D$19="NO",$D$13="SI",B362&gt;=7),(PMT(0.06/12,$K$9,-$C$33)-PMT(0.045/12,$K$9,-$C$33)),IF(AND($D$8=Variables!$B$5,$D$19="NO",$D$12="SI",$D$13="SI",B362&gt;12),(PMT(0.06/12,$K$9,-$C$45)-PMT(0.045/12,$K$9,-$C$45)),IF(AND($D$8=Variables!$B$4,$D$12="SI",$D$19="NO",$D$13="SI",$D$15="NO",B362&gt;18),(PMT(0.06/12,$K$9,-$C$51)-PMT(0.045/12,$K$9,-$C$51)),IF(AND($D$8=Variables!$B$4,$D$12="SI",$D$19="NO",$D$13="SI",$D$15="SI",B362&gt;24),(PMT(0.06/12,$K$9,-$C$57)-PMT(0.045/12,$K$9,-$C$57)),0)))))</f>
        <v>111.43825839224587</v>
      </c>
      <c r="G362" s="14">
        <f>+IF(B362&gt;$K$9,"",IF($D$8=Variables!$B$6,0.21*IPMT('Sim Reg N° 800'!$D$18,'Sim Reg N° 800'!B362,'Sim Reg N° 800'!$K$9,-'Sim Reg N° 800'!$J$10),0))+F362*0.21</f>
        <v>23.402034262371632</v>
      </c>
      <c r="H362" s="14">
        <f t="shared" si="31"/>
        <v>742.86266444567434</v>
      </c>
      <c r="I362" s="14">
        <f t="shared" si="29"/>
        <v>0</v>
      </c>
      <c r="J362" s="14">
        <f t="shared" si="30"/>
        <v>742.86266444567434</v>
      </c>
      <c r="K362" s="26">
        <f t="shared" si="32"/>
        <v>222.85879933370231</v>
      </c>
      <c r="L362" s="21"/>
      <c r="M362" s="19"/>
      <c r="R362" s="20"/>
    </row>
    <row r="363" spans="1:18" hidden="1" x14ac:dyDescent="0.2">
      <c r="A363" s="7"/>
      <c r="B363" s="42">
        <v>330</v>
      </c>
      <c r="C363" s="14">
        <f t="shared" si="28"/>
        <v>17221.562396743058</v>
      </c>
      <c r="D363" s="14">
        <f>IF(B363&gt;$K$9,"",IF($D$8=Variables!$B$3,PPMT($D$18,B363,$K$9,-$J$10),IF($D$8=Variables!$B$6,PPMT($D$18,B363,$K$9,-$J$10),IF($D$8=Variables!$B$5,PPMT($D$18,B363-12,$K$9-12,-$C$45),IF(AND($D$8=Variables!$B$4,$D$15="si"),0,PPMT($D$18,B363-18,$K$9-18,-$J$10-SUM($L$34:$L$51))))))+IF(AND($D$8=Variables!$B$4,'Sim Reg N° 800'!$D$15="SI"),PPMT($D$18,B363-24,$K$9-24,-$J$10-SUM($M$34:$M$57))))</f>
        <v>541.41122072554936</v>
      </c>
      <c r="E363" s="14">
        <f>IF(B363&gt;$K$9,"",IF($D$8=Variables!$B$3,IPMT($D$18,B363,$K$9,-$J$10),IF($D$8=Variables!$B$6,IPMT($D$18,B363,$K$9,-$J$10),IF($D$8=Variables!$B$5,IPMT($D$18,B363-12,$K$9-12,-$C$45),IF(AND($D$8=Variables!$B$4,$D$15="si"),0,IPMT($D$18,B363-18,$K$9-18,-$J$10-SUM($L$34:$L$51))))))+IF(AND($D$8=Variables!$B$4,'Sim Reg N° 800'!$D$15="SI"),IPMT($D$18,B363-24,$K$9-24,-$J$10-SUM($M$34:$M$57))))</f>
        <v>66.611151065507471</v>
      </c>
      <c r="F363" s="14">
        <f>IF(B363&gt;$K$9,"",IF(AND($D$8=Variables!$B$3,$D$12="SI",$D$19="NO",$D$13="SI",B363&gt;=7),(PMT(0.06/12,$K$9,-$C$33)-PMT(0.045/12,$K$9,-$C$33)),IF(AND($D$8=Variables!$B$5,$D$19="NO",$D$12="SI",$D$13="SI",B363&gt;12),(PMT(0.06/12,$K$9,-$C$45)-PMT(0.045/12,$K$9,-$C$45)),IF(AND($D$8=Variables!$B$4,$D$12="SI",$D$19="NO",$D$13="SI",$D$15="NO",B363&gt;18),(PMT(0.06/12,$K$9,-$C$51)-PMT(0.045/12,$K$9,-$C$51)),IF(AND($D$8=Variables!$B$4,$D$12="SI",$D$19="NO",$D$13="SI",$D$15="SI",B363&gt;24),(PMT(0.06/12,$K$9,-$C$57)-PMT(0.045/12,$K$9,-$C$57)),0)))))</f>
        <v>111.43825839224587</v>
      </c>
      <c r="G363" s="14">
        <f>+IF(B363&gt;$K$9,"",IF($D$8=Variables!$B$6,0.21*IPMT('Sim Reg N° 800'!$D$18,'Sim Reg N° 800'!B363,'Sim Reg N° 800'!$K$9,-'Sim Reg N° 800'!$J$10),0))+F363*0.21</f>
        <v>23.402034262371632</v>
      </c>
      <c r="H363" s="14">
        <f t="shared" si="31"/>
        <v>742.86266444567434</v>
      </c>
      <c r="I363" s="14">
        <f t="shared" si="29"/>
        <v>0</v>
      </c>
      <c r="J363" s="14">
        <f t="shared" si="30"/>
        <v>742.86266444567434</v>
      </c>
      <c r="K363" s="26">
        <f t="shared" si="32"/>
        <v>222.85879933370231</v>
      </c>
      <c r="L363" s="21"/>
      <c r="M363" s="19"/>
      <c r="R363" s="20"/>
    </row>
    <row r="364" spans="1:18" hidden="1" x14ac:dyDescent="0.2">
      <c r="A364" s="7"/>
      <c r="B364" s="42">
        <v>331</v>
      </c>
      <c r="C364" s="14">
        <f t="shared" si="28"/>
        <v>16678.120883939788</v>
      </c>
      <c r="D364" s="14">
        <f>IF(B364&gt;$K$9,"",IF($D$8=Variables!$B$3,PPMT($D$18,B364,$K$9,-$J$10),IF($D$8=Variables!$B$6,PPMT($D$18,B364,$K$9,-$J$10),IF($D$8=Variables!$B$5,PPMT($D$18,B364-12,$K$9-12,-$C$45),IF(AND($D$8=Variables!$B$4,$D$15="si"),0,PPMT($D$18,B364-18,$K$9-18,-$J$10-SUM($L$34:$L$51))))))+IF(AND($D$8=Variables!$B$4,'Sim Reg N° 800'!$D$15="SI"),PPMT($D$18,B364-24,$K$9-24,-$J$10-SUM($M$34:$M$57))))</f>
        <v>543.44151280327026</v>
      </c>
      <c r="E364" s="14">
        <f>IF(B364&gt;$K$9,"",IF($D$8=Variables!$B$3,IPMT($D$18,B364,$K$9,-$J$10),IF($D$8=Variables!$B$6,IPMT($D$18,B364,$K$9,-$J$10),IF($D$8=Variables!$B$5,IPMT($D$18,B364-12,$K$9-12,-$C$45),IF(AND($D$8=Variables!$B$4,$D$15="si"),0,IPMT($D$18,B364-18,$K$9-18,-$J$10-SUM($L$34:$L$51))))))+IF(AND($D$8=Variables!$B$4,'Sim Reg N° 800'!$D$15="SI"),IPMT($D$18,B364-24,$K$9-24,-$J$10-SUM($M$34:$M$57))))</f>
        <v>64.580858987786641</v>
      </c>
      <c r="F364" s="14">
        <f>IF(B364&gt;$K$9,"",IF(AND($D$8=Variables!$B$3,$D$12="SI",$D$19="NO",$D$13="SI",B364&gt;=7),(PMT(0.06/12,$K$9,-$C$33)-PMT(0.045/12,$K$9,-$C$33)),IF(AND($D$8=Variables!$B$5,$D$19="NO",$D$12="SI",$D$13="SI",B364&gt;12),(PMT(0.06/12,$K$9,-$C$45)-PMT(0.045/12,$K$9,-$C$45)),IF(AND($D$8=Variables!$B$4,$D$12="SI",$D$19="NO",$D$13="SI",$D$15="NO",B364&gt;18),(PMT(0.06/12,$K$9,-$C$51)-PMT(0.045/12,$K$9,-$C$51)),IF(AND($D$8=Variables!$B$4,$D$12="SI",$D$19="NO",$D$13="SI",$D$15="SI",B364&gt;24),(PMT(0.06/12,$K$9,-$C$57)-PMT(0.045/12,$K$9,-$C$57)),0)))))</f>
        <v>111.43825839224587</v>
      </c>
      <c r="G364" s="14">
        <f>+IF(B364&gt;$K$9,"",IF($D$8=Variables!$B$6,0.21*IPMT('Sim Reg N° 800'!$D$18,'Sim Reg N° 800'!B364,'Sim Reg N° 800'!$K$9,-'Sim Reg N° 800'!$J$10),0))+F364*0.21</f>
        <v>23.402034262371632</v>
      </c>
      <c r="H364" s="14">
        <f t="shared" si="31"/>
        <v>742.86266444567445</v>
      </c>
      <c r="I364" s="14">
        <f t="shared" si="29"/>
        <v>0</v>
      </c>
      <c r="J364" s="14">
        <f t="shared" si="30"/>
        <v>742.86266444567445</v>
      </c>
      <c r="K364" s="26">
        <f t="shared" si="32"/>
        <v>222.85879933370234</v>
      </c>
      <c r="L364" s="21"/>
      <c r="M364" s="19"/>
      <c r="R364" s="20"/>
    </row>
    <row r="365" spans="1:18" hidden="1" x14ac:dyDescent="0.2">
      <c r="A365" s="7"/>
      <c r="B365" s="42">
        <v>332</v>
      </c>
      <c r="C365" s="14">
        <f t="shared" si="28"/>
        <v>16132.641465463505</v>
      </c>
      <c r="D365" s="14">
        <f>IF(B365&gt;$K$9,"",IF($D$8=Variables!$B$3,PPMT($D$18,B365,$K$9,-$J$10),IF($D$8=Variables!$B$6,PPMT($D$18,B365,$K$9,-$J$10),IF($D$8=Variables!$B$5,PPMT($D$18,B365-12,$K$9-12,-$C$45),IF(AND($D$8=Variables!$B$4,$D$15="si"),0,PPMT($D$18,B365-18,$K$9-18,-$J$10-SUM($L$34:$L$51))))))+IF(AND($D$8=Variables!$B$4,'Sim Reg N° 800'!$D$15="SI"),PPMT($D$18,B365-24,$K$9-24,-$J$10-SUM($M$34:$M$57))))</f>
        <v>545.47941847628238</v>
      </c>
      <c r="E365" s="14">
        <f>IF(B365&gt;$K$9,"",IF($D$8=Variables!$B$3,IPMT($D$18,B365,$K$9,-$J$10),IF($D$8=Variables!$B$6,IPMT($D$18,B365,$K$9,-$J$10),IF($D$8=Variables!$B$5,IPMT($D$18,B365-12,$K$9-12,-$C$45),IF(AND($D$8=Variables!$B$4,$D$15="si"),0,IPMT($D$18,B365-18,$K$9-18,-$J$10-SUM($L$34:$L$51))))))+IF(AND($D$8=Variables!$B$4,'Sim Reg N° 800'!$D$15="SI"),IPMT($D$18,B365-24,$K$9-24,-$J$10-SUM($M$34:$M$57))))</f>
        <v>62.54295331477438</v>
      </c>
      <c r="F365" s="14">
        <f>IF(B365&gt;$K$9,"",IF(AND($D$8=Variables!$B$3,$D$12="SI",$D$19="NO",$D$13="SI",B365&gt;=7),(PMT(0.06/12,$K$9,-$C$33)-PMT(0.045/12,$K$9,-$C$33)),IF(AND($D$8=Variables!$B$5,$D$19="NO",$D$12="SI",$D$13="SI",B365&gt;12),(PMT(0.06/12,$K$9,-$C$45)-PMT(0.045/12,$K$9,-$C$45)),IF(AND($D$8=Variables!$B$4,$D$12="SI",$D$19="NO",$D$13="SI",$D$15="NO",B365&gt;18),(PMT(0.06/12,$K$9,-$C$51)-PMT(0.045/12,$K$9,-$C$51)),IF(AND($D$8=Variables!$B$4,$D$12="SI",$D$19="NO",$D$13="SI",$D$15="SI",B365&gt;24),(PMT(0.06/12,$K$9,-$C$57)-PMT(0.045/12,$K$9,-$C$57)),0)))))</f>
        <v>111.43825839224587</v>
      </c>
      <c r="G365" s="14">
        <f>+IF(B365&gt;$K$9,"",IF($D$8=Variables!$B$6,0.21*IPMT('Sim Reg N° 800'!$D$18,'Sim Reg N° 800'!B365,'Sim Reg N° 800'!$K$9,-'Sim Reg N° 800'!$J$10),0))+F365*0.21</f>
        <v>23.402034262371632</v>
      </c>
      <c r="H365" s="14">
        <f t="shared" si="31"/>
        <v>742.86266444567423</v>
      </c>
      <c r="I365" s="14">
        <f t="shared" si="29"/>
        <v>0</v>
      </c>
      <c r="J365" s="14">
        <f t="shared" si="30"/>
        <v>742.86266444567423</v>
      </c>
      <c r="K365" s="26">
        <f t="shared" si="32"/>
        <v>222.85879933370225</v>
      </c>
      <c r="L365" s="21"/>
      <c r="M365" s="19"/>
      <c r="R365" s="20"/>
    </row>
    <row r="366" spans="1:18" hidden="1" x14ac:dyDescent="0.2">
      <c r="A366" s="7"/>
      <c r="B366" s="42">
        <v>333</v>
      </c>
      <c r="C366" s="14">
        <f t="shared" si="28"/>
        <v>15585.116499167936</v>
      </c>
      <c r="D366" s="14">
        <f>IF(B366&gt;$K$9,"",IF($D$8=Variables!$B$3,PPMT($D$18,B366,$K$9,-$J$10),IF($D$8=Variables!$B$6,PPMT($D$18,B366,$K$9,-$J$10),IF($D$8=Variables!$B$5,PPMT($D$18,B366-12,$K$9-12,-$C$45),IF(AND($D$8=Variables!$B$4,$D$15="si"),0,PPMT($D$18,B366-18,$K$9-18,-$J$10-SUM($L$34:$L$51))))))+IF(AND($D$8=Variables!$B$4,'Sim Reg N° 800'!$D$15="SI"),PPMT($D$18,B366-24,$K$9-24,-$J$10-SUM($M$34:$M$57))))</f>
        <v>547.52496629556845</v>
      </c>
      <c r="E366" s="14">
        <f>IF(B366&gt;$K$9,"",IF($D$8=Variables!$B$3,IPMT($D$18,B366,$K$9,-$J$10),IF($D$8=Variables!$B$6,IPMT($D$18,B366,$K$9,-$J$10),IF($D$8=Variables!$B$5,IPMT($D$18,B366-12,$K$9-12,-$C$45),IF(AND($D$8=Variables!$B$4,$D$15="si"),0,IPMT($D$18,B366-18,$K$9-18,-$J$10-SUM($L$34:$L$51))))))+IF(AND($D$8=Variables!$B$4,'Sim Reg N° 800'!$D$15="SI"),IPMT($D$18,B366-24,$K$9-24,-$J$10-SUM($M$34:$M$57))))</f>
        <v>60.497405495488323</v>
      </c>
      <c r="F366" s="14">
        <f>IF(B366&gt;$K$9,"",IF(AND($D$8=Variables!$B$3,$D$12="SI",$D$19="NO",$D$13="SI",B366&gt;=7),(PMT(0.06/12,$K$9,-$C$33)-PMT(0.045/12,$K$9,-$C$33)),IF(AND($D$8=Variables!$B$5,$D$19="NO",$D$12="SI",$D$13="SI",B366&gt;12),(PMT(0.06/12,$K$9,-$C$45)-PMT(0.045/12,$K$9,-$C$45)),IF(AND($D$8=Variables!$B$4,$D$12="SI",$D$19="NO",$D$13="SI",$D$15="NO",B366&gt;18),(PMT(0.06/12,$K$9,-$C$51)-PMT(0.045/12,$K$9,-$C$51)),IF(AND($D$8=Variables!$B$4,$D$12="SI",$D$19="NO",$D$13="SI",$D$15="SI",B366&gt;24),(PMT(0.06/12,$K$9,-$C$57)-PMT(0.045/12,$K$9,-$C$57)),0)))))</f>
        <v>111.43825839224587</v>
      </c>
      <c r="G366" s="14">
        <f>+IF(B366&gt;$K$9,"",IF($D$8=Variables!$B$6,0.21*IPMT('Sim Reg N° 800'!$D$18,'Sim Reg N° 800'!B366,'Sim Reg N° 800'!$K$9,-'Sim Reg N° 800'!$J$10),0))+F366*0.21</f>
        <v>23.402034262371632</v>
      </c>
      <c r="H366" s="14">
        <f t="shared" si="31"/>
        <v>742.86266444567423</v>
      </c>
      <c r="I366" s="14">
        <f t="shared" si="29"/>
        <v>0</v>
      </c>
      <c r="J366" s="14">
        <f t="shared" si="30"/>
        <v>742.86266444567423</v>
      </c>
      <c r="K366" s="26">
        <f t="shared" si="32"/>
        <v>222.85879933370225</v>
      </c>
      <c r="L366" s="21"/>
      <c r="M366" s="19"/>
      <c r="R366" s="20"/>
    </row>
    <row r="367" spans="1:18" hidden="1" x14ac:dyDescent="0.2">
      <c r="A367" s="7"/>
      <c r="B367" s="42">
        <v>334</v>
      </c>
      <c r="C367" s="14">
        <f t="shared" si="28"/>
        <v>15035.538314248759</v>
      </c>
      <c r="D367" s="14">
        <f>IF(B367&gt;$K$9,"",IF($D$8=Variables!$B$3,PPMT($D$18,B367,$K$9,-$J$10),IF($D$8=Variables!$B$6,PPMT($D$18,B367,$K$9,-$J$10),IF($D$8=Variables!$B$5,PPMT($D$18,B367-12,$K$9-12,-$C$45),IF(AND($D$8=Variables!$B$4,$D$15="si"),0,PPMT($D$18,B367-18,$K$9-18,-$J$10-SUM($L$34:$L$51))))))+IF(AND($D$8=Variables!$B$4,'Sim Reg N° 800'!$D$15="SI"),PPMT($D$18,B367-24,$K$9-24,-$J$10-SUM($M$34:$M$57))))</f>
        <v>549.57818491917692</v>
      </c>
      <c r="E367" s="14">
        <f>IF(B367&gt;$K$9,"",IF($D$8=Variables!$B$3,IPMT($D$18,B367,$K$9,-$J$10),IF($D$8=Variables!$B$6,IPMT($D$18,B367,$K$9,-$J$10),IF($D$8=Variables!$B$5,IPMT($D$18,B367-12,$K$9-12,-$C$45),IF(AND($D$8=Variables!$B$4,$D$15="si"),0,IPMT($D$18,B367-18,$K$9-18,-$J$10-SUM($L$34:$L$51))))))+IF(AND($D$8=Variables!$B$4,'Sim Reg N° 800'!$D$15="SI"),IPMT($D$18,B367-24,$K$9-24,-$J$10-SUM($M$34:$M$57))))</f>
        <v>58.444186871879936</v>
      </c>
      <c r="F367" s="14">
        <f>IF(B367&gt;$K$9,"",IF(AND($D$8=Variables!$B$3,$D$12="SI",$D$19="NO",$D$13="SI",B367&gt;=7),(PMT(0.06/12,$K$9,-$C$33)-PMT(0.045/12,$K$9,-$C$33)),IF(AND($D$8=Variables!$B$5,$D$19="NO",$D$12="SI",$D$13="SI",B367&gt;12),(PMT(0.06/12,$K$9,-$C$45)-PMT(0.045/12,$K$9,-$C$45)),IF(AND($D$8=Variables!$B$4,$D$12="SI",$D$19="NO",$D$13="SI",$D$15="NO",B367&gt;18),(PMT(0.06/12,$K$9,-$C$51)-PMT(0.045/12,$K$9,-$C$51)),IF(AND($D$8=Variables!$B$4,$D$12="SI",$D$19="NO",$D$13="SI",$D$15="SI",B367&gt;24),(PMT(0.06/12,$K$9,-$C$57)-PMT(0.045/12,$K$9,-$C$57)),0)))))</f>
        <v>111.43825839224587</v>
      </c>
      <c r="G367" s="14">
        <f>+IF(B367&gt;$K$9,"",IF($D$8=Variables!$B$6,0.21*IPMT('Sim Reg N° 800'!$D$18,'Sim Reg N° 800'!B367,'Sim Reg N° 800'!$K$9,-'Sim Reg N° 800'!$J$10),0))+F367*0.21</f>
        <v>23.402034262371632</v>
      </c>
      <c r="H367" s="14">
        <f t="shared" si="31"/>
        <v>742.86266444567434</v>
      </c>
      <c r="I367" s="14">
        <f t="shared" si="29"/>
        <v>0</v>
      </c>
      <c r="J367" s="14">
        <f t="shared" si="30"/>
        <v>742.86266444567434</v>
      </c>
      <c r="K367" s="26">
        <f t="shared" si="32"/>
        <v>222.85879933370231</v>
      </c>
      <c r="L367" s="21"/>
      <c r="M367" s="19"/>
      <c r="R367" s="20"/>
    </row>
    <row r="368" spans="1:18" hidden="1" x14ac:dyDescent="0.2">
      <c r="A368" s="7"/>
      <c r="B368" s="42">
        <v>335</v>
      </c>
      <c r="C368" s="14">
        <f t="shared" si="28"/>
        <v>14483.899211136135</v>
      </c>
      <c r="D368" s="14">
        <f>IF(B368&gt;$K$9,"",IF($D$8=Variables!$B$3,PPMT($D$18,B368,$K$9,-$J$10),IF($D$8=Variables!$B$6,PPMT($D$18,B368,$K$9,-$J$10),IF($D$8=Variables!$B$5,PPMT($D$18,B368-12,$K$9-12,-$C$45),IF(AND($D$8=Variables!$B$4,$D$15="si"),0,PPMT($D$18,B368-18,$K$9-18,-$J$10-SUM($L$34:$L$51))))))+IF(AND($D$8=Variables!$B$4,'Sim Reg N° 800'!$D$15="SI"),PPMT($D$18,B368-24,$K$9-24,-$J$10-SUM($M$34:$M$57))))</f>
        <v>551.63910311262384</v>
      </c>
      <c r="E368" s="14">
        <f>IF(B368&gt;$K$9,"",IF($D$8=Variables!$B$3,IPMT($D$18,B368,$K$9,-$J$10),IF($D$8=Variables!$B$6,IPMT($D$18,B368,$K$9,-$J$10),IF($D$8=Variables!$B$5,IPMT($D$18,B368-12,$K$9-12,-$C$45),IF(AND($D$8=Variables!$B$4,$D$15="si"),0,IPMT($D$18,B368-18,$K$9-18,-$J$10-SUM($L$34:$L$51))))))+IF(AND($D$8=Variables!$B$4,'Sim Reg N° 800'!$D$15="SI"),IPMT($D$18,B368-24,$K$9-24,-$J$10-SUM($M$34:$M$57))))</f>
        <v>56.383268678433033</v>
      </c>
      <c r="F368" s="14">
        <f>IF(B368&gt;$K$9,"",IF(AND($D$8=Variables!$B$3,$D$12="SI",$D$19="NO",$D$13="SI",B368&gt;=7),(PMT(0.06/12,$K$9,-$C$33)-PMT(0.045/12,$K$9,-$C$33)),IF(AND($D$8=Variables!$B$5,$D$19="NO",$D$12="SI",$D$13="SI",B368&gt;12),(PMT(0.06/12,$K$9,-$C$45)-PMT(0.045/12,$K$9,-$C$45)),IF(AND($D$8=Variables!$B$4,$D$12="SI",$D$19="NO",$D$13="SI",$D$15="NO",B368&gt;18),(PMT(0.06/12,$K$9,-$C$51)-PMT(0.045/12,$K$9,-$C$51)),IF(AND($D$8=Variables!$B$4,$D$12="SI",$D$19="NO",$D$13="SI",$D$15="SI",B368&gt;24),(PMT(0.06/12,$K$9,-$C$57)-PMT(0.045/12,$K$9,-$C$57)),0)))))</f>
        <v>111.43825839224587</v>
      </c>
      <c r="G368" s="14">
        <f>+IF(B368&gt;$K$9,"",IF($D$8=Variables!$B$6,0.21*IPMT('Sim Reg N° 800'!$D$18,'Sim Reg N° 800'!B368,'Sim Reg N° 800'!$K$9,-'Sim Reg N° 800'!$J$10),0))+F368*0.21</f>
        <v>23.402034262371632</v>
      </c>
      <c r="H368" s="14">
        <f t="shared" si="31"/>
        <v>742.86266444567434</v>
      </c>
      <c r="I368" s="14">
        <f t="shared" si="29"/>
        <v>0</v>
      </c>
      <c r="J368" s="14">
        <f t="shared" si="30"/>
        <v>742.86266444567434</v>
      </c>
      <c r="K368" s="26">
        <f t="shared" si="32"/>
        <v>222.85879933370231</v>
      </c>
      <c r="L368" s="21"/>
      <c r="M368" s="19"/>
      <c r="R368" s="20"/>
    </row>
    <row r="369" spans="1:18" hidden="1" x14ac:dyDescent="0.2">
      <c r="A369" s="7"/>
      <c r="B369" s="42">
        <v>336</v>
      </c>
      <c r="C369" s="14">
        <f t="shared" si="28"/>
        <v>13930.191461386839</v>
      </c>
      <c r="D369" s="14">
        <f>IF(B369&gt;$K$9,"",IF($D$8=Variables!$B$3,PPMT($D$18,B369,$K$9,-$J$10),IF($D$8=Variables!$B$6,PPMT($D$18,B369,$K$9,-$J$10),IF($D$8=Variables!$B$5,PPMT($D$18,B369-12,$K$9-12,-$C$45),IF(AND($D$8=Variables!$B$4,$D$15="si"),0,PPMT($D$18,B369-18,$K$9-18,-$J$10-SUM($L$34:$L$51))))))+IF(AND($D$8=Variables!$B$4,'Sim Reg N° 800'!$D$15="SI"),PPMT($D$18,B369-24,$K$9-24,-$J$10-SUM($M$34:$M$57))))</f>
        <v>553.70774974929611</v>
      </c>
      <c r="E369" s="14">
        <f>IF(B369&gt;$K$9,"",IF($D$8=Variables!$B$3,IPMT($D$18,B369,$K$9,-$J$10),IF($D$8=Variables!$B$6,IPMT($D$18,B369,$K$9,-$J$10),IF($D$8=Variables!$B$5,IPMT($D$18,B369-12,$K$9-12,-$C$45),IF(AND($D$8=Variables!$B$4,$D$15="si"),0,IPMT($D$18,B369-18,$K$9-18,-$J$10-SUM($L$34:$L$51))))))+IF(AND($D$8=Variables!$B$4,'Sim Reg N° 800'!$D$15="SI"),IPMT($D$18,B369-24,$K$9-24,-$J$10-SUM($M$34:$M$57))))</f>
        <v>54.314622041760693</v>
      </c>
      <c r="F369" s="14">
        <f>IF(B369&gt;$K$9,"",IF(AND($D$8=Variables!$B$3,$D$12="SI",$D$19="NO",$D$13="SI",B369&gt;=7),(PMT(0.06/12,$K$9,-$C$33)-PMT(0.045/12,$K$9,-$C$33)),IF(AND($D$8=Variables!$B$5,$D$19="NO",$D$12="SI",$D$13="SI",B369&gt;12),(PMT(0.06/12,$K$9,-$C$45)-PMT(0.045/12,$K$9,-$C$45)),IF(AND($D$8=Variables!$B$4,$D$12="SI",$D$19="NO",$D$13="SI",$D$15="NO",B369&gt;18),(PMT(0.06/12,$K$9,-$C$51)-PMT(0.045/12,$K$9,-$C$51)),IF(AND($D$8=Variables!$B$4,$D$12="SI",$D$19="NO",$D$13="SI",$D$15="SI",B369&gt;24),(PMT(0.06/12,$K$9,-$C$57)-PMT(0.045/12,$K$9,-$C$57)),0)))))</f>
        <v>111.43825839224587</v>
      </c>
      <c r="G369" s="14">
        <f>+IF(B369&gt;$K$9,"",IF($D$8=Variables!$B$6,0.21*IPMT('Sim Reg N° 800'!$D$18,'Sim Reg N° 800'!B369,'Sim Reg N° 800'!$K$9,-'Sim Reg N° 800'!$J$10),0))+F369*0.21</f>
        <v>23.402034262371632</v>
      </c>
      <c r="H369" s="14">
        <f t="shared" si="31"/>
        <v>742.86266444567434</v>
      </c>
      <c r="I369" s="14">
        <f t="shared" si="29"/>
        <v>0</v>
      </c>
      <c r="J369" s="14">
        <f t="shared" si="30"/>
        <v>742.86266444567434</v>
      </c>
      <c r="K369" s="26">
        <f t="shared" si="32"/>
        <v>222.85879933370231</v>
      </c>
      <c r="L369" s="21"/>
      <c r="M369" s="19"/>
      <c r="R369" s="20"/>
    </row>
    <row r="370" spans="1:18" hidden="1" x14ac:dyDescent="0.2">
      <c r="A370" s="7"/>
      <c r="B370" s="42">
        <v>337</v>
      </c>
      <c r="C370" s="14">
        <f t="shared" si="28"/>
        <v>13374.407307575984</v>
      </c>
      <c r="D370" s="14">
        <f>IF(B370&gt;$K$9,"",IF($D$8=Variables!$B$3,PPMT($D$18,B370,$K$9,-$J$10),IF($D$8=Variables!$B$6,PPMT($D$18,B370,$K$9,-$J$10),IF($D$8=Variables!$B$5,PPMT($D$18,B370-12,$K$9-12,-$C$45),IF(AND($D$8=Variables!$B$4,$D$15="si"),0,PPMT($D$18,B370-18,$K$9-18,-$J$10-SUM($L$34:$L$51))))))+IF(AND($D$8=Variables!$B$4,'Sim Reg N° 800'!$D$15="SI"),PPMT($D$18,B370-24,$K$9-24,-$J$10-SUM($M$34:$M$57))))</f>
        <v>555.78415381085597</v>
      </c>
      <c r="E370" s="14">
        <f>IF(B370&gt;$K$9,"",IF($D$8=Variables!$B$3,IPMT($D$18,B370,$K$9,-$J$10),IF($D$8=Variables!$B$6,IPMT($D$18,B370,$K$9,-$J$10),IF($D$8=Variables!$B$5,IPMT($D$18,B370-12,$K$9-12,-$C$45),IF(AND($D$8=Variables!$B$4,$D$15="si"),0,IPMT($D$18,B370-18,$K$9-18,-$J$10-SUM($L$34:$L$51))))))+IF(AND($D$8=Variables!$B$4,'Sim Reg N° 800'!$D$15="SI"),IPMT($D$18,B370-24,$K$9-24,-$J$10-SUM($M$34:$M$57))))</f>
        <v>52.238217980200837</v>
      </c>
      <c r="F370" s="14">
        <f>IF(B370&gt;$K$9,"",IF(AND($D$8=Variables!$B$3,$D$12="SI",$D$19="NO",$D$13="SI",B370&gt;=7),(PMT(0.06/12,$K$9,-$C$33)-PMT(0.045/12,$K$9,-$C$33)),IF(AND($D$8=Variables!$B$5,$D$19="NO",$D$12="SI",$D$13="SI",B370&gt;12),(PMT(0.06/12,$K$9,-$C$45)-PMT(0.045/12,$K$9,-$C$45)),IF(AND($D$8=Variables!$B$4,$D$12="SI",$D$19="NO",$D$13="SI",$D$15="NO",B370&gt;18),(PMT(0.06/12,$K$9,-$C$51)-PMT(0.045/12,$K$9,-$C$51)),IF(AND($D$8=Variables!$B$4,$D$12="SI",$D$19="NO",$D$13="SI",$D$15="SI",B370&gt;24),(PMT(0.06/12,$K$9,-$C$57)-PMT(0.045/12,$K$9,-$C$57)),0)))))</f>
        <v>111.43825839224587</v>
      </c>
      <c r="G370" s="14">
        <f>+IF(B370&gt;$K$9,"",IF($D$8=Variables!$B$6,0.21*IPMT('Sim Reg N° 800'!$D$18,'Sim Reg N° 800'!B370,'Sim Reg N° 800'!$K$9,-'Sim Reg N° 800'!$J$10),0))+F370*0.21</f>
        <v>23.402034262371632</v>
      </c>
      <c r="H370" s="14">
        <f t="shared" si="31"/>
        <v>742.86266444567434</v>
      </c>
      <c r="I370" s="14">
        <f t="shared" si="29"/>
        <v>95.999999999999986</v>
      </c>
      <c r="J370" s="14">
        <f t="shared" si="30"/>
        <v>838.86266444567434</v>
      </c>
      <c r="K370" s="26">
        <f t="shared" si="32"/>
        <v>251.65879933370229</v>
      </c>
      <c r="L370" s="21"/>
      <c r="M370" s="19"/>
      <c r="R370" s="20"/>
    </row>
    <row r="371" spans="1:18" hidden="1" x14ac:dyDescent="0.2">
      <c r="A371" s="7"/>
      <c r="B371" s="42">
        <v>338</v>
      </c>
      <c r="C371" s="14">
        <f t="shared" si="28"/>
        <v>12816.538963188337</v>
      </c>
      <c r="D371" s="14">
        <f>IF(B371&gt;$K$9,"",IF($D$8=Variables!$B$3,PPMT($D$18,B371,$K$9,-$J$10),IF($D$8=Variables!$B$6,PPMT($D$18,B371,$K$9,-$J$10),IF($D$8=Variables!$B$5,PPMT($D$18,B371-12,$K$9-12,-$C$45),IF(AND($D$8=Variables!$B$4,$D$15="si"),0,PPMT($D$18,B371-18,$K$9-18,-$J$10-SUM($L$34:$L$51))))))+IF(AND($D$8=Variables!$B$4,'Sim Reg N° 800'!$D$15="SI"),PPMT($D$18,B371-24,$K$9-24,-$J$10-SUM($M$34:$M$57))))</f>
        <v>557.86834438764674</v>
      </c>
      <c r="E371" s="14">
        <f>IF(B371&gt;$K$9,"",IF($D$8=Variables!$B$3,IPMT($D$18,B371,$K$9,-$J$10),IF($D$8=Variables!$B$6,IPMT($D$18,B371,$K$9,-$J$10),IF($D$8=Variables!$B$5,IPMT($D$18,B371-12,$K$9-12,-$C$45),IF(AND($D$8=Variables!$B$4,$D$15="si"),0,IPMT($D$18,B371-18,$K$9-18,-$J$10-SUM($L$34:$L$51))))))+IF(AND($D$8=Variables!$B$4,'Sim Reg N° 800'!$D$15="SI"),IPMT($D$18,B371-24,$K$9-24,-$J$10-SUM($M$34:$M$57))))</f>
        <v>50.154027403410133</v>
      </c>
      <c r="F371" s="14">
        <f>IF(B371&gt;$K$9,"",IF(AND($D$8=Variables!$B$3,$D$12="SI",$D$19="NO",$D$13="SI",B371&gt;=7),(PMT(0.06/12,$K$9,-$C$33)-PMT(0.045/12,$K$9,-$C$33)),IF(AND($D$8=Variables!$B$5,$D$19="NO",$D$12="SI",$D$13="SI",B371&gt;12),(PMT(0.06/12,$K$9,-$C$45)-PMT(0.045/12,$K$9,-$C$45)),IF(AND($D$8=Variables!$B$4,$D$12="SI",$D$19="NO",$D$13="SI",$D$15="NO",B371&gt;18),(PMT(0.06/12,$K$9,-$C$51)-PMT(0.045/12,$K$9,-$C$51)),IF(AND($D$8=Variables!$B$4,$D$12="SI",$D$19="NO",$D$13="SI",$D$15="SI",B371&gt;24),(PMT(0.06/12,$K$9,-$C$57)-PMT(0.045/12,$K$9,-$C$57)),0)))))</f>
        <v>111.43825839224587</v>
      </c>
      <c r="G371" s="14">
        <f>+IF(B371&gt;$K$9,"",IF($D$8=Variables!$B$6,0.21*IPMT('Sim Reg N° 800'!$D$18,'Sim Reg N° 800'!B371,'Sim Reg N° 800'!$K$9,-'Sim Reg N° 800'!$J$10),0))+F371*0.21</f>
        <v>23.402034262371632</v>
      </c>
      <c r="H371" s="14">
        <f t="shared" si="31"/>
        <v>742.86266444567434</v>
      </c>
      <c r="I371" s="14">
        <f t="shared" si="29"/>
        <v>0</v>
      </c>
      <c r="J371" s="14">
        <f t="shared" si="30"/>
        <v>742.86266444567434</v>
      </c>
      <c r="K371" s="26">
        <f t="shared" si="32"/>
        <v>222.85879933370231</v>
      </c>
      <c r="L371" s="21"/>
      <c r="M371" s="19"/>
      <c r="R371" s="20"/>
    </row>
    <row r="372" spans="1:18" hidden="1" x14ac:dyDescent="0.2">
      <c r="A372" s="7"/>
      <c r="B372" s="42">
        <v>339</v>
      </c>
      <c r="C372" s="14">
        <f t="shared" si="28"/>
        <v>12256.578612509236</v>
      </c>
      <c r="D372" s="14">
        <f>IF(B372&gt;$K$9,"",IF($D$8=Variables!$B$3,PPMT($D$18,B372,$K$9,-$J$10),IF($D$8=Variables!$B$6,PPMT($D$18,B372,$K$9,-$J$10),IF($D$8=Variables!$B$5,PPMT($D$18,B372-12,$K$9-12,-$C$45),IF(AND($D$8=Variables!$B$4,$D$15="si"),0,PPMT($D$18,B372-18,$K$9-18,-$J$10-SUM($L$34:$L$51))))))+IF(AND($D$8=Variables!$B$4,'Sim Reg N° 800'!$D$15="SI"),PPMT($D$18,B372-24,$K$9-24,-$J$10-SUM($M$34:$M$57))))</f>
        <v>559.96035067910043</v>
      </c>
      <c r="E372" s="14">
        <f>IF(B372&gt;$K$9,"",IF($D$8=Variables!$B$3,IPMT($D$18,B372,$K$9,-$J$10),IF($D$8=Variables!$B$6,IPMT($D$18,B372,$K$9,-$J$10),IF($D$8=Variables!$B$5,IPMT($D$18,B372-12,$K$9-12,-$C$45),IF(AND($D$8=Variables!$B$4,$D$15="si"),0,IPMT($D$18,B372-18,$K$9-18,-$J$10-SUM($L$34:$L$51))))))+IF(AND($D$8=Variables!$B$4,'Sim Reg N° 800'!$D$15="SI"),IPMT($D$18,B372-24,$K$9-24,-$J$10-SUM($M$34:$M$57))))</f>
        <v>48.062021111956454</v>
      </c>
      <c r="F372" s="14">
        <f>IF(B372&gt;$K$9,"",IF(AND($D$8=Variables!$B$3,$D$12="SI",$D$19="NO",$D$13="SI",B372&gt;=7),(PMT(0.06/12,$K$9,-$C$33)-PMT(0.045/12,$K$9,-$C$33)),IF(AND($D$8=Variables!$B$5,$D$19="NO",$D$12="SI",$D$13="SI",B372&gt;12),(PMT(0.06/12,$K$9,-$C$45)-PMT(0.045/12,$K$9,-$C$45)),IF(AND($D$8=Variables!$B$4,$D$12="SI",$D$19="NO",$D$13="SI",$D$15="NO",B372&gt;18),(PMT(0.06/12,$K$9,-$C$51)-PMT(0.045/12,$K$9,-$C$51)),IF(AND($D$8=Variables!$B$4,$D$12="SI",$D$19="NO",$D$13="SI",$D$15="SI",B372&gt;24),(PMT(0.06/12,$K$9,-$C$57)-PMT(0.045/12,$K$9,-$C$57)),0)))))</f>
        <v>111.43825839224587</v>
      </c>
      <c r="G372" s="14">
        <f>+IF(B372&gt;$K$9,"",IF($D$8=Variables!$B$6,0.21*IPMT('Sim Reg N° 800'!$D$18,'Sim Reg N° 800'!B372,'Sim Reg N° 800'!$K$9,-'Sim Reg N° 800'!$J$10),0))+F372*0.21</f>
        <v>23.402034262371632</v>
      </c>
      <c r="H372" s="14">
        <f t="shared" si="31"/>
        <v>742.86266444567434</v>
      </c>
      <c r="I372" s="14">
        <f t="shared" si="29"/>
        <v>0</v>
      </c>
      <c r="J372" s="14">
        <f t="shared" si="30"/>
        <v>742.86266444567434</v>
      </c>
      <c r="K372" s="26">
        <f t="shared" si="32"/>
        <v>222.85879933370231</v>
      </c>
      <c r="L372" s="21"/>
      <c r="M372" s="19"/>
      <c r="R372" s="20"/>
    </row>
    <row r="373" spans="1:18" hidden="1" x14ac:dyDescent="0.2">
      <c r="A373" s="7"/>
      <c r="B373" s="42">
        <v>340</v>
      </c>
      <c r="C373" s="14">
        <f t="shared" si="28"/>
        <v>11694.518410515089</v>
      </c>
      <c r="D373" s="14">
        <f>IF(B373&gt;$K$9,"",IF($D$8=Variables!$B$3,PPMT($D$18,B373,$K$9,-$J$10),IF($D$8=Variables!$B$6,PPMT($D$18,B373,$K$9,-$J$10),IF($D$8=Variables!$B$5,PPMT($D$18,B373-12,$K$9-12,-$C$45),IF(AND($D$8=Variables!$B$4,$D$15="si"),0,PPMT($D$18,B373-18,$K$9-18,-$J$10-SUM($L$34:$L$51))))))+IF(AND($D$8=Variables!$B$4,'Sim Reg N° 800'!$D$15="SI"),PPMT($D$18,B373-24,$K$9-24,-$J$10-SUM($M$34:$M$57))))</f>
        <v>562.06020199414706</v>
      </c>
      <c r="E373" s="14">
        <f>IF(B373&gt;$K$9,"",IF($D$8=Variables!$B$3,IPMT($D$18,B373,$K$9,-$J$10),IF($D$8=Variables!$B$6,IPMT($D$18,B373,$K$9,-$J$10),IF($D$8=Variables!$B$5,IPMT($D$18,B373-12,$K$9-12,-$C$45),IF(AND($D$8=Variables!$B$4,$D$15="si"),0,IPMT($D$18,B373-18,$K$9-18,-$J$10-SUM($L$34:$L$51))))))+IF(AND($D$8=Variables!$B$4,'Sim Reg N° 800'!$D$15="SI"),IPMT($D$18,B373-24,$K$9-24,-$J$10-SUM($M$34:$M$57))))</f>
        <v>45.962169796909834</v>
      </c>
      <c r="F373" s="14">
        <f>IF(B373&gt;$K$9,"",IF(AND($D$8=Variables!$B$3,$D$12="SI",$D$19="NO",$D$13="SI",B373&gt;=7),(PMT(0.06/12,$K$9,-$C$33)-PMT(0.045/12,$K$9,-$C$33)),IF(AND($D$8=Variables!$B$5,$D$19="NO",$D$12="SI",$D$13="SI",B373&gt;12),(PMT(0.06/12,$K$9,-$C$45)-PMT(0.045/12,$K$9,-$C$45)),IF(AND($D$8=Variables!$B$4,$D$12="SI",$D$19="NO",$D$13="SI",$D$15="NO",B373&gt;18),(PMT(0.06/12,$K$9,-$C$51)-PMT(0.045/12,$K$9,-$C$51)),IF(AND($D$8=Variables!$B$4,$D$12="SI",$D$19="NO",$D$13="SI",$D$15="SI",B373&gt;24),(PMT(0.06/12,$K$9,-$C$57)-PMT(0.045/12,$K$9,-$C$57)),0)))))</f>
        <v>111.43825839224587</v>
      </c>
      <c r="G373" s="14">
        <f>+IF(B373&gt;$K$9,"",IF($D$8=Variables!$B$6,0.21*IPMT('Sim Reg N° 800'!$D$18,'Sim Reg N° 800'!B373,'Sim Reg N° 800'!$K$9,-'Sim Reg N° 800'!$J$10),0))+F373*0.21</f>
        <v>23.402034262371632</v>
      </c>
      <c r="H373" s="14">
        <f t="shared" si="31"/>
        <v>742.86266444567445</v>
      </c>
      <c r="I373" s="14">
        <f t="shared" si="29"/>
        <v>0</v>
      </c>
      <c r="J373" s="14">
        <f t="shared" si="30"/>
        <v>742.86266444567445</v>
      </c>
      <c r="K373" s="26">
        <f t="shared" si="32"/>
        <v>222.85879933370234</v>
      </c>
      <c r="L373" s="21"/>
      <c r="M373" s="19"/>
      <c r="R373" s="20"/>
    </row>
    <row r="374" spans="1:18" hidden="1" x14ac:dyDescent="0.2">
      <c r="A374" s="7"/>
      <c r="B374" s="42">
        <v>341</v>
      </c>
      <c r="C374" s="14">
        <f t="shared" si="28"/>
        <v>11130.350482763464</v>
      </c>
      <c r="D374" s="14">
        <f>IF(B374&gt;$K$9,"",IF($D$8=Variables!$B$3,PPMT($D$18,B374,$K$9,-$J$10),IF($D$8=Variables!$B$6,PPMT($D$18,B374,$K$9,-$J$10),IF($D$8=Variables!$B$5,PPMT($D$18,B374-12,$K$9-12,-$C$45),IF(AND($D$8=Variables!$B$4,$D$15="si"),0,PPMT($D$18,B374-18,$K$9-18,-$J$10-SUM($L$34:$L$51))))))+IF(AND($D$8=Variables!$B$4,'Sim Reg N° 800'!$D$15="SI"),PPMT($D$18,B374-24,$K$9-24,-$J$10-SUM($M$34:$M$57))))</f>
        <v>564.16792775162514</v>
      </c>
      <c r="E374" s="14">
        <f>IF(B374&gt;$K$9,"",IF($D$8=Variables!$B$3,IPMT($D$18,B374,$K$9,-$J$10),IF($D$8=Variables!$B$6,IPMT($D$18,B374,$K$9,-$J$10),IF($D$8=Variables!$B$5,IPMT($D$18,B374-12,$K$9-12,-$C$45),IF(AND($D$8=Variables!$B$4,$D$15="si"),0,IPMT($D$18,B374-18,$K$9-18,-$J$10-SUM($L$34:$L$51))))))+IF(AND($D$8=Variables!$B$4,'Sim Reg N° 800'!$D$15="SI"),IPMT($D$18,B374-24,$K$9-24,-$J$10-SUM($M$34:$M$57))))</f>
        <v>43.854444039431776</v>
      </c>
      <c r="F374" s="14">
        <f>IF(B374&gt;$K$9,"",IF(AND($D$8=Variables!$B$3,$D$12="SI",$D$19="NO",$D$13="SI",B374&gt;=7),(PMT(0.06/12,$K$9,-$C$33)-PMT(0.045/12,$K$9,-$C$33)),IF(AND($D$8=Variables!$B$5,$D$19="NO",$D$12="SI",$D$13="SI",B374&gt;12),(PMT(0.06/12,$K$9,-$C$45)-PMT(0.045/12,$K$9,-$C$45)),IF(AND($D$8=Variables!$B$4,$D$12="SI",$D$19="NO",$D$13="SI",$D$15="NO",B374&gt;18),(PMT(0.06/12,$K$9,-$C$51)-PMT(0.045/12,$K$9,-$C$51)),IF(AND($D$8=Variables!$B$4,$D$12="SI",$D$19="NO",$D$13="SI",$D$15="SI",B374&gt;24),(PMT(0.06/12,$K$9,-$C$57)-PMT(0.045/12,$K$9,-$C$57)),0)))))</f>
        <v>111.43825839224587</v>
      </c>
      <c r="G374" s="14">
        <f>+IF(B374&gt;$K$9,"",IF($D$8=Variables!$B$6,0.21*IPMT('Sim Reg N° 800'!$D$18,'Sim Reg N° 800'!B374,'Sim Reg N° 800'!$K$9,-'Sim Reg N° 800'!$J$10),0))+F374*0.21</f>
        <v>23.402034262371632</v>
      </c>
      <c r="H374" s="14">
        <f t="shared" si="31"/>
        <v>742.86266444567445</v>
      </c>
      <c r="I374" s="14">
        <f t="shared" si="29"/>
        <v>0</v>
      </c>
      <c r="J374" s="14">
        <f t="shared" si="30"/>
        <v>742.86266444567445</v>
      </c>
      <c r="K374" s="26">
        <f t="shared" si="32"/>
        <v>222.85879933370234</v>
      </c>
      <c r="L374" s="21"/>
      <c r="M374" s="19"/>
      <c r="R374" s="20"/>
    </row>
    <row r="375" spans="1:18" hidden="1" x14ac:dyDescent="0.2">
      <c r="A375" s="7"/>
      <c r="B375" s="42">
        <v>342</v>
      </c>
      <c r="C375" s="14">
        <f t="shared" si="28"/>
        <v>10564.06692528277</v>
      </c>
      <c r="D375" s="14">
        <f>IF(B375&gt;$K$9,"",IF($D$8=Variables!$B$3,PPMT($D$18,B375,$K$9,-$J$10),IF($D$8=Variables!$B$6,PPMT($D$18,B375,$K$9,-$J$10),IF($D$8=Variables!$B$5,PPMT($D$18,B375-12,$K$9-12,-$C$45),IF(AND($D$8=Variables!$B$4,$D$15="si"),0,PPMT($D$18,B375-18,$K$9-18,-$J$10-SUM($L$34:$L$51))))))+IF(AND($D$8=Variables!$B$4,'Sim Reg N° 800'!$D$15="SI"),PPMT($D$18,B375-24,$K$9-24,-$J$10-SUM($M$34:$M$57))))</f>
        <v>566.28355748069362</v>
      </c>
      <c r="E375" s="14">
        <f>IF(B375&gt;$K$9,"",IF($D$8=Variables!$B$3,IPMT($D$18,B375,$K$9,-$J$10),IF($D$8=Variables!$B$6,IPMT($D$18,B375,$K$9,-$J$10),IF($D$8=Variables!$B$5,IPMT($D$18,B375-12,$K$9-12,-$C$45),IF(AND($D$8=Variables!$B$4,$D$15="si"),0,IPMT($D$18,B375-18,$K$9-18,-$J$10-SUM($L$34:$L$51))))))+IF(AND($D$8=Variables!$B$4,'Sim Reg N° 800'!$D$15="SI"),IPMT($D$18,B375-24,$K$9-24,-$J$10-SUM($M$34:$M$57))))</f>
        <v>41.738814310363182</v>
      </c>
      <c r="F375" s="14">
        <f>IF(B375&gt;$K$9,"",IF(AND($D$8=Variables!$B$3,$D$12="SI",$D$19="NO",$D$13="SI",B375&gt;=7),(PMT(0.06/12,$K$9,-$C$33)-PMT(0.045/12,$K$9,-$C$33)),IF(AND($D$8=Variables!$B$5,$D$19="NO",$D$12="SI",$D$13="SI",B375&gt;12),(PMT(0.06/12,$K$9,-$C$45)-PMT(0.045/12,$K$9,-$C$45)),IF(AND($D$8=Variables!$B$4,$D$12="SI",$D$19="NO",$D$13="SI",$D$15="NO",B375&gt;18),(PMT(0.06/12,$K$9,-$C$51)-PMT(0.045/12,$K$9,-$C$51)),IF(AND($D$8=Variables!$B$4,$D$12="SI",$D$19="NO",$D$13="SI",$D$15="SI",B375&gt;24),(PMT(0.06/12,$K$9,-$C$57)-PMT(0.045/12,$K$9,-$C$57)),0)))))</f>
        <v>111.43825839224587</v>
      </c>
      <c r="G375" s="14">
        <f>+IF(B375&gt;$K$9,"",IF($D$8=Variables!$B$6,0.21*IPMT('Sim Reg N° 800'!$D$18,'Sim Reg N° 800'!B375,'Sim Reg N° 800'!$K$9,-'Sim Reg N° 800'!$J$10),0))+F375*0.21</f>
        <v>23.402034262371632</v>
      </c>
      <c r="H375" s="14">
        <f t="shared" si="31"/>
        <v>742.86266444567434</v>
      </c>
      <c r="I375" s="14">
        <f t="shared" si="29"/>
        <v>0</v>
      </c>
      <c r="J375" s="14">
        <f t="shared" si="30"/>
        <v>742.86266444567434</v>
      </c>
      <c r="K375" s="26">
        <f t="shared" si="32"/>
        <v>222.85879933370231</v>
      </c>
      <c r="L375" s="21"/>
      <c r="M375" s="19"/>
      <c r="R375" s="20"/>
    </row>
    <row r="376" spans="1:18" hidden="1" x14ac:dyDescent="0.2">
      <c r="A376" s="7"/>
      <c r="B376" s="42">
        <v>343</v>
      </c>
      <c r="C376" s="14">
        <f t="shared" si="28"/>
        <v>9995.6598044615239</v>
      </c>
      <c r="D376" s="14">
        <f>IF(B376&gt;$K$9,"",IF($D$8=Variables!$B$3,PPMT($D$18,B376,$K$9,-$J$10),IF($D$8=Variables!$B$6,PPMT($D$18,B376,$K$9,-$J$10),IF($D$8=Variables!$B$5,PPMT($D$18,B376-12,$K$9-12,-$C$45),IF(AND($D$8=Variables!$B$4,$D$15="si"),0,PPMT($D$18,B376-18,$K$9-18,-$J$10-SUM($L$34:$L$51))))))+IF(AND($D$8=Variables!$B$4,'Sim Reg N° 800'!$D$15="SI"),PPMT($D$18,B376-24,$K$9-24,-$J$10-SUM($M$34:$M$57))))</f>
        <v>568.40712082124628</v>
      </c>
      <c r="E376" s="14">
        <f>IF(B376&gt;$K$9,"",IF($D$8=Variables!$B$3,IPMT($D$18,B376,$K$9,-$J$10),IF($D$8=Variables!$B$6,IPMT($D$18,B376,$K$9,-$J$10),IF($D$8=Variables!$B$5,IPMT($D$18,B376-12,$K$9-12,-$C$45),IF(AND($D$8=Variables!$B$4,$D$15="si"),0,IPMT($D$18,B376-18,$K$9-18,-$J$10-SUM($L$34:$L$51))))))+IF(AND($D$8=Variables!$B$4,'Sim Reg N° 800'!$D$15="SI"),IPMT($D$18,B376-24,$K$9-24,-$J$10-SUM($M$34:$M$57))))</f>
        <v>39.615250969810575</v>
      </c>
      <c r="F376" s="14">
        <f>IF(B376&gt;$K$9,"",IF(AND($D$8=Variables!$B$3,$D$12="SI",$D$19="NO",$D$13="SI",B376&gt;=7),(PMT(0.06/12,$K$9,-$C$33)-PMT(0.045/12,$K$9,-$C$33)),IF(AND($D$8=Variables!$B$5,$D$19="NO",$D$12="SI",$D$13="SI",B376&gt;12),(PMT(0.06/12,$K$9,-$C$45)-PMT(0.045/12,$K$9,-$C$45)),IF(AND($D$8=Variables!$B$4,$D$12="SI",$D$19="NO",$D$13="SI",$D$15="NO",B376&gt;18),(PMT(0.06/12,$K$9,-$C$51)-PMT(0.045/12,$K$9,-$C$51)),IF(AND($D$8=Variables!$B$4,$D$12="SI",$D$19="NO",$D$13="SI",$D$15="SI",B376&gt;24),(PMT(0.06/12,$K$9,-$C$57)-PMT(0.045/12,$K$9,-$C$57)),0)))))</f>
        <v>111.43825839224587</v>
      </c>
      <c r="G376" s="14">
        <f>+IF(B376&gt;$K$9,"",IF($D$8=Variables!$B$6,0.21*IPMT('Sim Reg N° 800'!$D$18,'Sim Reg N° 800'!B376,'Sim Reg N° 800'!$K$9,-'Sim Reg N° 800'!$J$10),0))+F376*0.21</f>
        <v>23.402034262371632</v>
      </c>
      <c r="H376" s="14">
        <f t="shared" si="31"/>
        <v>742.86266444567434</v>
      </c>
      <c r="I376" s="14">
        <f t="shared" si="29"/>
        <v>0</v>
      </c>
      <c r="J376" s="14">
        <f t="shared" si="30"/>
        <v>742.86266444567434</v>
      </c>
      <c r="K376" s="26">
        <f t="shared" si="32"/>
        <v>222.85879933370231</v>
      </c>
      <c r="L376" s="21"/>
      <c r="M376" s="19"/>
      <c r="R376" s="20"/>
    </row>
    <row r="377" spans="1:18" hidden="1" x14ac:dyDescent="0.2">
      <c r="A377" s="7"/>
      <c r="B377" s="42">
        <v>344</v>
      </c>
      <c r="C377" s="14">
        <f t="shared" si="28"/>
        <v>9425.1211569371972</v>
      </c>
      <c r="D377" s="14">
        <f>IF(B377&gt;$K$9,"",IF($D$8=Variables!$B$3,PPMT($D$18,B377,$K$9,-$J$10),IF($D$8=Variables!$B$6,PPMT($D$18,B377,$K$9,-$J$10),IF($D$8=Variables!$B$5,PPMT($D$18,B377-12,$K$9-12,-$C$45),IF(AND($D$8=Variables!$B$4,$D$15="si"),0,PPMT($D$18,B377-18,$K$9-18,-$J$10-SUM($L$34:$L$51))))))+IF(AND($D$8=Variables!$B$4,'Sim Reg N° 800'!$D$15="SI"),PPMT($D$18,B377-24,$K$9-24,-$J$10-SUM($M$34:$M$57))))</f>
        <v>570.53864752432594</v>
      </c>
      <c r="E377" s="14">
        <f>IF(B377&gt;$K$9,"",IF($D$8=Variables!$B$3,IPMT($D$18,B377,$K$9,-$J$10),IF($D$8=Variables!$B$6,IPMT($D$18,B377,$K$9,-$J$10),IF($D$8=Variables!$B$5,IPMT($D$18,B377-12,$K$9-12,-$C$45),IF(AND($D$8=Variables!$B$4,$D$15="si"),0,IPMT($D$18,B377-18,$K$9-18,-$J$10-SUM($L$34:$L$51))))))+IF(AND($D$8=Variables!$B$4,'Sim Reg N° 800'!$D$15="SI"),IPMT($D$18,B377-24,$K$9-24,-$J$10-SUM($M$34:$M$57))))</f>
        <v>37.483724266730903</v>
      </c>
      <c r="F377" s="14">
        <f>IF(B377&gt;$K$9,"",IF(AND($D$8=Variables!$B$3,$D$12="SI",$D$19="NO",$D$13="SI",B377&gt;=7),(PMT(0.06/12,$K$9,-$C$33)-PMT(0.045/12,$K$9,-$C$33)),IF(AND($D$8=Variables!$B$5,$D$19="NO",$D$12="SI",$D$13="SI",B377&gt;12),(PMT(0.06/12,$K$9,-$C$45)-PMT(0.045/12,$K$9,-$C$45)),IF(AND($D$8=Variables!$B$4,$D$12="SI",$D$19="NO",$D$13="SI",$D$15="NO",B377&gt;18),(PMT(0.06/12,$K$9,-$C$51)-PMT(0.045/12,$K$9,-$C$51)),IF(AND($D$8=Variables!$B$4,$D$12="SI",$D$19="NO",$D$13="SI",$D$15="SI",B377&gt;24),(PMT(0.06/12,$K$9,-$C$57)-PMT(0.045/12,$K$9,-$C$57)),0)))))</f>
        <v>111.43825839224587</v>
      </c>
      <c r="G377" s="14">
        <f>+IF(B377&gt;$K$9,"",IF($D$8=Variables!$B$6,0.21*IPMT('Sim Reg N° 800'!$D$18,'Sim Reg N° 800'!B377,'Sim Reg N° 800'!$K$9,-'Sim Reg N° 800'!$J$10),0))+F377*0.21</f>
        <v>23.402034262371632</v>
      </c>
      <c r="H377" s="14">
        <f t="shared" si="31"/>
        <v>742.86266444567434</v>
      </c>
      <c r="I377" s="14">
        <f t="shared" si="29"/>
        <v>0</v>
      </c>
      <c r="J377" s="14">
        <f t="shared" si="30"/>
        <v>742.86266444567434</v>
      </c>
      <c r="K377" s="26">
        <f t="shared" si="32"/>
        <v>222.85879933370231</v>
      </c>
      <c r="L377" s="21"/>
      <c r="M377" s="19"/>
      <c r="R377" s="20"/>
    </row>
    <row r="378" spans="1:18" hidden="1" x14ac:dyDescent="0.2">
      <c r="A378" s="7"/>
      <c r="B378" s="42">
        <v>345</v>
      </c>
      <c r="C378" s="14">
        <f t="shared" si="28"/>
        <v>8852.4429894846544</v>
      </c>
      <c r="D378" s="14">
        <f>IF(B378&gt;$K$9,"",IF($D$8=Variables!$B$3,PPMT($D$18,B378,$K$9,-$J$10),IF($D$8=Variables!$B$6,PPMT($D$18,B378,$K$9,-$J$10),IF($D$8=Variables!$B$5,PPMT($D$18,B378-12,$K$9-12,-$C$45),IF(AND($D$8=Variables!$B$4,$D$15="si"),0,PPMT($D$18,B378-18,$K$9-18,-$J$10-SUM($L$34:$L$51))))))+IF(AND($D$8=Variables!$B$4,'Sim Reg N° 800'!$D$15="SI"),PPMT($D$18,B378-24,$K$9-24,-$J$10-SUM($M$34:$M$57))))</f>
        <v>572.67816745254208</v>
      </c>
      <c r="E378" s="14">
        <f>IF(B378&gt;$K$9,"",IF($D$8=Variables!$B$3,IPMT($D$18,B378,$K$9,-$J$10),IF($D$8=Variables!$B$6,IPMT($D$18,B378,$K$9,-$J$10),IF($D$8=Variables!$B$5,IPMT($D$18,B378-12,$K$9-12,-$C$45),IF(AND($D$8=Variables!$B$4,$D$15="si"),0,IPMT($D$18,B378-18,$K$9-18,-$J$10-SUM($L$34:$L$51))))))+IF(AND($D$8=Variables!$B$4,'Sim Reg N° 800'!$D$15="SI"),IPMT($D$18,B378-24,$K$9-24,-$J$10-SUM($M$34:$M$57))))</f>
        <v>35.344204338514679</v>
      </c>
      <c r="F378" s="14">
        <f>IF(B378&gt;$K$9,"",IF(AND($D$8=Variables!$B$3,$D$12="SI",$D$19="NO",$D$13="SI",B378&gt;=7),(PMT(0.06/12,$K$9,-$C$33)-PMT(0.045/12,$K$9,-$C$33)),IF(AND($D$8=Variables!$B$5,$D$19="NO",$D$12="SI",$D$13="SI",B378&gt;12),(PMT(0.06/12,$K$9,-$C$45)-PMT(0.045/12,$K$9,-$C$45)),IF(AND($D$8=Variables!$B$4,$D$12="SI",$D$19="NO",$D$13="SI",$D$15="NO",B378&gt;18),(PMT(0.06/12,$K$9,-$C$51)-PMT(0.045/12,$K$9,-$C$51)),IF(AND($D$8=Variables!$B$4,$D$12="SI",$D$19="NO",$D$13="SI",$D$15="SI",B378&gt;24),(PMT(0.06/12,$K$9,-$C$57)-PMT(0.045/12,$K$9,-$C$57)),0)))))</f>
        <v>111.43825839224587</v>
      </c>
      <c r="G378" s="14">
        <f>+IF(B378&gt;$K$9,"",IF($D$8=Variables!$B$6,0.21*IPMT('Sim Reg N° 800'!$D$18,'Sim Reg N° 800'!B378,'Sim Reg N° 800'!$K$9,-'Sim Reg N° 800'!$J$10),0))+F378*0.21</f>
        <v>23.402034262371632</v>
      </c>
      <c r="H378" s="14">
        <f t="shared" si="31"/>
        <v>742.86266444567423</v>
      </c>
      <c r="I378" s="14">
        <f t="shared" si="29"/>
        <v>0</v>
      </c>
      <c r="J378" s="14">
        <f t="shared" si="30"/>
        <v>742.86266444567423</v>
      </c>
      <c r="K378" s="26">
        <f t="shared" si="32"/>
        <v>222.85879933370225</v>
      </c>
      <c r="L378" s="21"/>
      <c r="M378" s="19"/>
      <c r="R378" s="20"/>
    </row>
    <row r="379" spans="1:18" hidden="1" x14ac:dyDescent="0.2">
      <c r="A379" s="7"/>
      <c r="B379" s="42">
        <v>346</v>
      </c>
      <c r="C379" s="14">
        <f t="shared" si="28"/>
        <v>8277.6172789041648</v>
      </c>
      <c r="D379" s="14">
        <f>IF(B379&gt;$K$9,"",IF($D$8=Variables!$B$3,PPMT($D$18,B379,$K$9,-$J$10),IF($D$8=Variables!$B$6,PPMT($D$18,B379,$K$9,-$J$10),IF($D$8=Variables!$B$5,PPMT($D$18,B379-12,$K$9-12,-$C$45),IF(AND($D$8=Variables!$B$4,$D$15="si"),0,PPMT($D$18,B379-18,$K$9-18,-$J$10-SUM($L$34:$L$51))))))+IF(AND($D$8=Variables!$B$4,'Sim Reg N° 800'!$D$15="SI"),PPMT($D$18,B379-24,$K$9-24,-$J$10-SUM($M$34:$M$57))))</f>
        <v>574.82571058048916</v>
      </c>
      <c r="E379" s="14">
        <f>IF(B379&gt;$K$9,"",IF($D$8=Variables!$B$3,IPMT($D$18,B379,$K$9,-$J$10),IF($D$8=Variables!$B$6,IPMT($D$18,B379,$K$9,-$J$10),IF($D$8=Variables!$B$5,IPMT($D$18,B379-12,$K$9-12,-$C$45),IF(AND($D$8=Variables!$B$4,$D$15="si"),0,IPMT($D$18,B379-18,$K$9-18,-$J$10-SUM($L$34:$L$51))))))+IF(AND($D$8=Variables!$B$4,'Sim Reg N° 800'!$D$15="SI"),IPMT($D$18,B379-24,$K$9-24,-$J$10-SUM($M$34:$M$57))))</f>
        <v>33.196661210567648</v>
      </c>
      <c r="F379" s="14">
        <f>IF(B379&gt;$K$9,"",IF(AND($D$8=Variables!$B$3,$D$12="SI",$D$19="NO",$D$13="SI",B379&gt;=7),(PMT(0.06/12,$K$9,-$C$33)-PMT(0.045/12,$K$9,-$C$33)),IF(AND($D$8=Variables!$B$5,$D$19="NO",$D$12="SI",$D$13="SI",B379&gt;12),(PMT(0.06/12,$K$9,-$C$45)-PMT(0.045/12,$K$9,-$C$45)),IF(AND($D$8=Variables!$B$4,$D$12="SI",$D$19="NO",$D$13="SI",$D$15="NO",B379&gt;18),(PMT(0.06/12,$K$9,-$C$51)-PMT(0.045/12,$K$9,-$C$51)),IF(AND($D$8=Variables!$B$4,$D$12="SI",$D$19="NO",$D$13="SI",$D$15="SI",B379&gt;24),(PMT(0.06/12,$K$9,-$C$57)-PMT(0.045/12,$K$9,-$C$57)),0)))))</f>
        <v>111.43825839224587</v>
      </c>
      <c r="G379" s="14">
        <f>+IF(B379&gt;$K$9,"",IF($D$8=Variables!$B$6,0.21*IPMT('Sim Reg N° 800'!$D$18,'Sim Reg N° 800'!B379,'Sim Reg N° 800'!$K$9,-'Sim Reg N° 800'!$J$10),0))+F379*0.21</f>
        <v>23.402034262371632</v>
      </c>
      <c r="H379" s="14">
        <f t="shared" si="31"/>
        <v>742.86266444567434</v>
      </c>
      <c r="I379" s="14">
        <f t="shared" si="29"/>
        <v>0</v>
      </c>
      <c r="J379" s="14">
        <f t="shared" si="30"/>
        <v>742.86266444567434</v>
      </c>
      <c r="K379" s="26">
        <f t="shared" si="32"/>
        <v>222.85879933370231</v>
      </c>
      <c r="L379" s="21"/>
      <c r="M379" s="19"/>
      <c r="R379" s="20"/>
    </row>
    <row r="380" spans="1:18" hidden="1" x14ac:dyDescent="0.2">
      <c r="A380" s="7"/>
      <c r="B380" s="42">
        <v>347</v>
      </c>
      <c r="C380" s="14">
        <f t="shared" si="28"/>
        <v>7700.6359719089987</v>
      </c>
      <c r="D380" s="14">
        <f>IF(B380&gt;$K$9,"",IF($D$8=Variables!$B$3,PPMT($D$18,B380,$K$9,-$J$10),IF($D$8=Variables!$B$6,PPMT($D$18,B380,$K$9,-$J$10),IF($D$8=Variables!$B$5,PPMT($D$18,B380-12,$K$9-12,-$C$45),IF(AND($D$8=Variables!$B$4,$D$15="si"),0,PPMT($D$18,B380-18,$K$9-18,-$J$10-SUM($L$34:$L$51))))))+IF(AND($D$8=Variables!$B$4,'Sim Reg N° 800'!$D$15="SI"),PPMT($D$18,B380-24,$K$9-24,-$J$10-SUM($M$34:$M$57))))</f>
        <v>576.98130699516605</v>
      </c>
      <c r="E380" s="14">
        <f>IF(B380&gt;$K$9,"",IF($D$8=Variables!$B$3,IPMT($D$18,B380,$K$9,-$J$10),IF($D$8=Variables!$B$6,IPMT($D$18,B380,$K$9,-$J$10),IF($D$8=Variables!$B$5,IPMT($D$18,B380-12,$K$9-12,-$C$45),IF(AND($D$8=Variables!$B$4,$D$15="si"),0,IPMT($D$18,B380-18,$K$9-18,-$J$10-SUM($L$34:$L$51))))))+IF(AND($D$8=Variables!$B$4,'Sim Reg N° 800'!$D$15="SI"),IPMT($D$18,B380-24,$K$9-24,-$J$10-SUM($M$34:$M$57))))</f>
        <v>31.041064795890815</v>
      </c>
      <c r="F380" s="14">
        <f>IF(B380&gt;$K$9,"",IF(AND($D$8=Variables!$B$3,$D$12="SI",$D$19="NO",$D$13="SI",B380&gt;=7),(PMT(0.06/12,$K$9,-$C$33)-PMT(0.045/12,$K$9,-$C$33)),IF(AND($D$8=Variables!$B$5,$D$19="NO",$D$12="SI",$D$13="SI",B380&gt;12),(PMT(0.06/12,$K$9,-$C$45)-PMT(0.045/12,$K$9,-$C$45)),IF(AND($D$8=Variables!$B$4,$D$12="SI",$D$19="NO",$D$13="SI",$D$15="NO",B380&gt;18),(PMT(0.06/12,$K$9,-$C$51)-PMT(0.045/12,$K$9,-$C$51)),IF(AND($D$8=Variables!$B$4,$D$12="SI",$D$19="NO",$D$13="SI",$D$15="SI",B380&gt;24),(PMT(0.06/12,$K$9,-$C$57)-PMT(0.045/12,$K$9,-$C$57)),0)))))</f>
        <v>111.43825839224587</v>
      </c>
      <c r="G380" s="14">
        <f>+IF(B380&gt;$K$9,"",IF($D$8=Variables!$B$6,0.21*IPMT('Sim Reg N° 800'!$D$18,'Sim Reg N° 800'!B380,'Sim Reg N° 800'!$K$9,-'Sim Reg N° 800'!$J$10),0))+F380*0.21</f>
        <v>23.402034262371632</v>
      </c>
      <c r="H380" s="14">
        <f t="shared" si="31"/>
        <v>742.86266444567434</v>
      </c>
      <c r="I380" s="14">
        <f t="shared" si="29"/>
        <v>0</v>
      </c>
      <c r="J380" s="14">
        <f t="shared" si="30"/>
        <v>742.86266444567434</v>
      </c>
      <c r="K380" s="26">
        <f t="shared" si="32"/>
        <v>222.85879933370231</v>
      </c>
      <c r="L380" s="21"/>
      <c r="M380" s="19"/>
      <c r="R380" s="20"/>
    </row>
    <row r="381" spans="1:18" hidden="1" x14ac:dyDescent="0.2">
      <c r="A381" s="7"/>
      <c r="B381" s="42">
        <v>348</v>
      </c>
      <c r="C381" s="14">
        <f t="shared" si="28"/>
        <v>7121.4909850126005</v>
      </c>
      <c r="D381" s="14">
        <f>IF(B381&gt;$K$9,"",IF($D$8=Variables!$B$3,PPMT($D$18,B381,$K$9,-$J$10),IF($D$8=Variables!$B$6,PPMT($D$18,B381,$K$9,-$J$10),IF($D$8=Variables!$B$5,PPMT($D$18,B381-12,$K$9-12,-$C$45),IF(AND($D$8=Variables!$B$4,$D$15="si"),0,PPMT($D$18,B381-18,$K$9-18,-$J$10-SUM($L$34:$L$51))))))+IF(AND($D$8=Variables!$B$4,'Sim Reg N° 800'!$D$15="SI"),PPMT($D$18,B381-24,$K$9-24,-$J$10-SUM($M$34:$M$57))))</f>
        <v>579.14498689639788</v>
      </c>
      <c r="E381" s="14">
        <f>IF(B381&gt;$K$9,"",IF($D$8=Variables!$B$3,IPMT($D$18,B381,$K$9,-$J$10),IF($D$8=Variables!$B$6,IPMT($D$18,B381,$K$9,-$J$10),IF($D$8=Variables!$B$5,IPMT($D$18,B381-12,$K$9-12,-$C$45),IF(AND($D$8=Variables!$B$4,$D$15="si"),0,IPMT($D$18,B381-18,$K$9-18,-$J$10-SUM($L$34:$L$51))))))+IF(AND($D$8=Variables!$B$4,'Sim Reg N° 800'!$D$15="SI"),IPMT($D$18,B381-24,$K$9-24,-$J$10-SUM($M$34:$M$57))))</f>
        <v>28.877384894658945</v>
      </c>
      <c r="F381" s="14">
        <f>IF(B381&gt;$K$9,"",IF(AND($D$8=Variables!$B$3,$D$12="SI",$D$19="NO",$D$13="SI",B381&gt;=7),(PMT(0.06/12,$K$9,-$C$33)-PMT(0.045/12,$K$9,-$C$33)),IF(AND($D$8=Variables!$B$5,$D$19="NO",$D$12="SI",$D$13="SI",B381&gt;12),(PMT(0.06/12,$K$9,-$C$45)-PMT(0.045/12,$K$9,-$C$45)),IF(AND($D$8=Variables!$B$4,$D$12="SI",$D$19="NO",$D$13="SI",$D$15="NO",B381&gt;18),(PMT(0.06/12,$K$9,-$C$51)-PMT(0.045/12,$K$9,-$C$51)),IF(AND($D$8=Variables!$B$4,$D$12="SI",$D$19="NO",$D$13="SI",$D$15="SI",B381&gt;24),(PMT(0.06/12,$K$9,-$C$57)-PMT(0.045/12,$K$9,-$C$57)),0)))))</f>
        <v>111.43825839224587</v>
      </c>
      <c r="G381" s="14">
        <f>+IF(B381&gt;$K$9,"",IF($D$8=Variables!$B$6,0.21*IPMT('Sim Reg N° 800'!$D$18,'Sim Reg N° 800'!B381,'Sim Reg N° 800'!$K$9,-'Sim Reg N° 800'!$J$10),0))+F381*0.21</f>
        <v>23.402034262371632</v>
      </c>
      <c r="H381" s="14">
        <f t="shared" si="31"/>
        <v>742.86266444567434</v>
      </c>
      <c r="I381" s="14">
        <f t="shared" si="29"/>
        <v>0</v>
      </c>
      <c r="J381" s="14">
        <f t="shared" si="30"/>
        <v>742.86266444567434</v>
      </c>
      <c r="K381" s="26">
        <f t="shared" si="32"/>
        <v>222.85879933370231</v>
      </c>
      <c r="L381" s="21"/>
      <c r="M381" s="19"/>
      <c r="R381" s="20"/>
    </row>
    <row r="382" spans="1:18" hidden="1" x14ac:dyDescent="0.2">
      <c r="A382" s="7"/>
      <c r="B382" s="42">
        <v>349</v>
      </c>
      <c r="C382" s="14">
        <f t="shared" si="28"/>
        <v>6540.1742044153407</v>
      </c>
      <c r="D382" s="14">
        <f>IF(B382&gt;$K$9,"",IF($D$8=Variables!$B$3,PPMT($D$18,B382,$K$9,-$J$10),IF($D$8=Variables!$B$6,PPMT($D$18,B382,$K$9,-$J$10),IF($D$8=Variables!$B$5,PPMT($D$18,B382-12,$K$9-12,-$C$45),IF(AND($D$8=Variables!$B$4,$D$15="si"),0,PPMT($D$18,B382-18,$K$9-18,-$J$10-SUM($L$34:$L$51))))))+IF(AND($D$8=Variables!$B$4,'Sim Reg N° 800'!$D$15="SI"),PPMT($D$18,B382-24,$K$9-24,-$J$10-SUM($M$34:$M$57))))</f>
        <v>581.31678059725948</v>
      </c>
      <c r="E382" s="14">
        <f>IF(B382&gt;$K$9,"",IF($D$8=Variables!$B$3,IPMT($D$18,B382,$K$9,-$J$10),IF($D$8=Variables!$B$6,IPMT($D$18,B382,$K$9,-$J$10),IF($D$8=Variables!$B$5,IPMT($D$18,B382-12,$K$9-12,-$C$45),IF(AND($D$8=Variables!$B$4,$D$15="si"),0,IPMT($D$18,B382-18,$K$9-18,-$J$10-SUM($L$34:$L$51))))))+IF(AND($D$8=Variables!$B$4,'Sim Reg N° 800'!$D$15="SI"),IPMT($D$18,B382-24,$K$9-24,-$J$10-SUM($M$34:$M$57))))</f>
        <v>26.705591193797449</v>
      </c>
      <c r="F382" s="14">
        <f>IF(B382&gt;$K$9,"",IF(AND($D$8=Variables!$B$3,$D$12="SI",$D$19="NO",$D$13="SI",B382&gt;=7),(PMT(0.06/12,$K$9,-$C$33)-PMT(0.045/12,$K$9,-$C$33)),IF(AND($D$8=Variables!$B$5,$D$19="NO",$D$12="SI",$D$13="SI",B382&gt;12),(PMT(0.06/12,$K$9,-$C$45)-PMT(0.045/12,$K$9,-$C$45)),IF(AND($D$8=Variables!$B$4,$D$12="SI",$D$19="NO",$D$13="SI",$D$15="NO",B382&gt;18),(PMT(0.06/12,$K$9,-$C$51)-PMT(0.045/12,$K$9,-$C$51)),IF(AND($D$8=Variables!$B$4,$D$12="SI",$D$19="NO",$D$13="SI",$D$15="SI",B382&gt;24),(PMT(0.06/12,$K$9,-$C$57)-PMT(0.045/12,$K$9,-$C$57)),0)))))</f>
        <v>111.43825839224587</v>
      </c>
      <c r="G382" s="14">
        <f>+IF(B382&gt;$K$9,"",IF($D$8=Variables!$B$6,0.21*IPMT('Sim Reg N° 800'!$D$18,'Sim Reg N° 800'!B382,'Sim Reg N° 800'!$K$9,-'Sim Reg N° 800'!$J$10),0))+F382*0.21</f>
        <v>23.402034262371632</v>
      </c>
      <c r="H382" s="14">
        <f t="shared" si="31"/>
        <v>742.86266444567445</v>
      </c>
      <c r="I382" s="14">
        <f t="shared" si="29"/>
        <v>95.999999999999986</v>
      </c>
      <c r="J382" s="14">
        <f t="shared" si="30"/>
        <v>838.86266444567445</v>
      </c>
      <c r="K382" s="26">
        <f t="shared" si="32"/>
        <v>251.65879933370232</v>
      </c>
      <c r="L382" s="21"/>
      <c r="M382" s="19"/>
      <c r="R382" s="20"/>
    </row>
    <row r="383" spans="1:18" hidden="1" x14ac:dyDescent="0.2">
      <c r="A383" s="7"/>
      <c r="B383" s="42">
        <v>350</v>
      </c>
      <c r="C383" s="14">
        <f t="shared" si="28"/>
        <v>5956.6774858908411</v>
      </c>
      <c r="D383" s="14">
        <f>IF(B383&gt;$K$9,"",IF($D$8=Variables!$B$3,PPMT($D$18,B383,$K$9,-$J$10),IF($D$8=Variables!$B$6,PPMT($D$18,B383,$K$9,-$J$10),IF($D$8=Variables!$B$5,PPMT($D$18,B383-12,$K$9-12,-$C$45),IF(AND($D$8=Variables!$B$4,$D$15="si"),0,PPMT($D$18,B383-18,$K$9-18,-$J$10-SUM($L$34:$L$51))))))+IF(AND($D$8=Variables!$B$4,'Sim Reg N° 800'!$D$15="SI"),PPMT($D$18,B383-24,$K$9-24,-$J$10-SUM($M$34:$M$57))))</f>
        <v>583.4967185244991</v>
      </c>
      <c r="E383" s="14">
        <f>IF(B383&gt;$K$9,"",IF($D$8=Variables!$B$3,IPMT($D$18,B383,$K$9,-$J$10),IF($D$8=Variables!$B$6,IPMT($D$18,B383,$K$9,-$J$10),IF($D$8=Variables!$B$5,IPMT($D$18,B383-12,$K$9-12,-$C$45),IF(AND($D$8=Variables!$B$4,$D$15="si"),0,IPMT($D$18,B383-18,$K$9-18,-$J$10-SUM($L$34:$L$51))))))+IF(AND($D$8=Variables!$B$4,'Sim Reg N° 800'!$D$15="SI"),IPMT($D$18,B383-24,$K$9-24,-$J$10-SUM($M$34:$M$57))))</f>
        <v>24.525653266557725</v>
      </c>
      <c r="F383" s="14">
        <f>IF(B383&gt;$K$9,"",IF(AND($D$8=Variables!$B$3,$D$12="SI",$D$19="NO",$D$13="SI",B383&gt;=7),(PMT(0.06/12,$K$9,-$C$33)-PMT(0.045/12,$K$9,-$C$33)),IF(AND($D$8=Variables!$B$5,$D$19="NO",$D$12="SI",$D$13="SI",B383&gt;12),(PMT(0.06/12,$K$9,-$C$45)-PMT(0.045/12,$K$9,-$C$45)),IF(AND($D$8=Variables!$B$4,$D$12="SI",$D$19="NO",$D$13="SI",$D$15="NO",B383&gt;18),(PMT(0.06/12,$K$9,-$C$51)-PMT(0.045/12,$K$9,-$C$51)),IF(AND($D$8=Variables!$B$4,$D$12="SI",$D$19="NO",$D$13="SI",$D$15="SI",B383&gt;24),(PMT(0.06/12,$K$9,-$C$57)-PMT(0.045/12,$K$9,-$C$57)),0)))))</f>
        <v>111.43825839224587</v>
      </c>
      <c r="G383" s="14">
        <f>+IF(B383&gt;$K$9,"",IF($D$8=Variables!$B$6,0.21*IPMT('Sim Reg N° 800'!$D$18,'Sim Reg N° 800'!B383,'Sim Reg N° 800'!$K$9,-'Sim Reg N° 800'!$J$10),0))+F383*0.21</f>
        <v>23.402034262371632</v>
      </c>
      <c r="H383" s="14">
        <f t="shared" si="31"/>
        <v>742.86266444567434</v>
      </c>
      <c r="I383" s="14">
        <f t="shared" si="29"/>
        <v>0</v>
      </c>
      <c r="J383" s="14">
        <f t="shared" si="30"/>
        <v>742.86266444567434</v>
      </c>
      <c r="K383" s="26">
        <f t="shared" si="32"/>
        <v>222.85879933370231</v>
      </c>
      <c r="L383" s="21"/>
      <c r="M383" s="19"/>
      <c r="R383" s="20"/>
    </row>
    <row r="384" spans="1:18" hidden="1" x14ac:dyDescent="0.2">
      <c r="A384" s="7"/>
      <c r="B384" s="42">
        <v>351</v>
      </c>
      <c r="C384" s="14">
        <f t="shared" si="28"/>
        <v>5370.9926546718752</v>
      </c>
      <c r="D384" s="14">
        <f>IF(B384&gt;$K$9,"",IF($D$8=Variables!$B$3,PPMT($D$18,B384,$K$9,-$J$10),IF($D$8=Variables!$B$6,PPMT($D$18,B384,$K$9,-$J$10),IF($D$8=Variables!$B$5,PPMT($D$18,B384-12,$K$9-12,-$C$45),IF(AND($D$8=Variables!$B$4,$D$15="si"),0,PPMT($D$18,B384-18,$K$9-18,-$J$10-SUM($L$34:$L$51))))))+IF(AND($D$8=Variables!$B$4,'Sim Reg N° 800'!$D$15="SI"),PPMT($D$18,B384-24,$K$9-24,-$J$10-SUM($M$34:$M$57))))</f>
        <v>585.684831218966</v>
      </c>
      <c r="E384" s="14">
        <f>IF(B384&gt;$K$9,"",IF($D$8=Variables!$B$3,IPMT($D$18,B384,$K$9,-$J$10),IF($D$8=Variables!$B$6,IPMT($D$18,B384,$K$9,-$J$10),IF($D$8=Variables!$B$5,IPMT($D$18,B384-12,$K$9-12,-$C$45),IF(AND($D$8=Variables!$B$4,$D$15="si"),0,IPMT($D$18,B384-18,$K$9-18,-$J$10-SUM($L$34:$L$51))))))+IF(AND($D$8=Variables!$B$4,'Sim Reg N° 800'!$D$15="SI"),IPMT($D$18,B384-24,$K$9-24,-$J$10-SUM($M$34:$M$57))))</f>
        <v>22.337540572090859</v>
      </c>
      <c r="F384" s="14">
        <f>IF(B384&gt;$K$9,"",IF(AND($D$8=Variables!$B$3,$D$12="SI",$D$19="NO",$D$13="SI",B384&gt;=7),(PMT(0.06/12,$K$9,-$C$33)-PMT(0.045/12,$K$9,-$C$33)),IF(AND($D$8=Variables!$B$5,$D$19="NO",$D$12="SI",$D$13="SI",B384&gt;12),(PMT(0.06/12,$K$9,-$C$45)-PMT(0.045/12,$K$9,-$C$45)),IF(AND($D$8=Variables!$B$4,$D$12="SI",$D$19="NO",$D$13="SI",$D$15="NO",B384&gt;18),(PMT(0.06/12,$K$9,-$C$51)-PMT(0.045/12,$K$9,-$C$51)),IF(AND($D$8=Variables!$B$4,$D$12="SI",$D$19="NO",$D$13="SI",$D$15="SI",B384&gt;24),(PMT(0.06/12,$K$9,-$C$57)-PMT(0.045/12,$K$9,-$C$57)),0)))))</f>
        <v>111.43825839224587</v>
      </c>
      <c r="G384" s="14">
        <f>+IF(B384&gt;$K$9,"",IF($D$8=Variables!$B$6,0.21*IPMT('Sim Reg N° 800'!$D$18,'Sim Reg N° 800'!B384,'Sim Reg N° 800'!$K$9,-'Sim Reg N° 800'!$J$10),0))+F384*0.21</f>
        <v>23.402034262371632</v>
      </c>
      <c r="H384" s="14">
        <f t="shared" si="31"/>
        <v>742.86266444567434</v>
      </c>
      <c r="I384" s="14">
        <f t="shared" si="29"/>
        <v>0</v>
      </c>
      <c r="J384" s="14">
        <f t="shared" si="30"/>
        <v>742.86266444567434</v>
      </c>
      <c r="K384" s="26">
        <f t="shared" si="32"/>
        <v>222.85879933370231</v>
      </c>
      <c r="L384" s="21"/>
      <c r="M384" s="19"/>
      <c r="R384" s="20"/>
    </row>
    <row r="385" spans="1:18" hidden="1" x14ac:dyDescent="0.2">
      <c r="A385" s="7"/>
      <c r="B385" s="42">
        <v>352</v>
      </c>
      <c r="C385" s="14">
        <f t="shared" si="28"/>
        <v>4783.111505335838</v>
      </c>
      <c r="D385" s="14">
        <f>IF(B385&gt;$K$9,"",IF($D$8=Variables!$B$3,PPMT($D$18,B385,$K$9,-$J$10),IF($D$8=Variables!$B$6,PPMT($D$18,B385,$K$9,-$J$10),IF($D$8=Variables!$B$5,PPMT($D$18,B385-12,$K$9-12,-$C$45),IF(AND($D$8=Variables!$B$4,$D$15="si"),0,PPMT($D$18,B385-18,$K$9-18,-$J$10-SUM($L$34:$L$51))))))+IF(AND($D$8=Variables!$B$4,'Sim Reg N° 800'!$D$15="SI"),PPMT($D$18,B385-24,$K$9-24,-$J$10-SUM($M$34:$M$57))))</f>
        <v>587.88114933603708</v>
      </c>
      <c r="E385" s="14">
        <f>IF(B385&gt;$K$9,"",IF($D$8=Variables!$B$3,IPMT($D$18,B385,$K$9,-$J$10),IF($D$8=Variables!$B$6,IPMT($D$18,B385,$K$9,-$J$10),IF($D$8=Variables!$B$5,IPMT($D$18,B385-12,$K$9-12,-$C$45),IF(AND($D$8=Variables!$B$4,$D$15="si"),0,IPMT($D$18,B385-18,$K$9-18,-$J$10-SUM($L$34:$L$51))))))+IF(AND($D$8=Variables!$B$4,'Sim Reg N° 800'!$D$15="SI"),IPMT($D$18,B385-24,$K$9-24,-$J$10-SUM($M$34:$M$57))))</f>
        <v>20.141222455019729</v>
      </c>
      <c r="F385" s="14">
        <f>IF(B385&gt;$K$9,"",IF(AND($D$8=Variables!$B$3,$D$12="SI",$D$19="NO",$D$13="SI",B385&gt;=7),(PMT(0.06/12,$K$9,-$C$33)-PMT(0.045/12,$K$9,-$C$33)),IF(AND($D$8=Variables!$B$5,$D$19="NO",$D$12="SI",$D$13="SI",B385&gt;12),(PMT(0.06/12,$K$9,-$C$45)-PMT(0.045/12,$K$9,-$C$45)),IF(AND($D$8=Variables!$B$4,$D$12="SI",$D$19="NO",$D$13="SI",$D$15="NO",B385&gt;18),(PMT(0.06/12,$K$9,-$C$51)-PMT(0.045/12,$K$9,-$C$51)),IF(AND($D$8=Variables!$B$4,$D$12="SI",$D$19="NO",$D$13="SI",$D$15="SI",B385&gt;24),(PMT(0.06/12,$K$9,-$C$57)-PMT(0.045/12,$K$9,-$C$57)),0)))))</f>
        <v>111.43825839224587</v>
      </c>
      <c r="G385" s="14">
        <f>+IF(B385&gt;$K$9,"",IF($D$8=Variables!$B$6,0.21*IPMT('Sim Reg N° 800'!$D$18,'Sim Reg N° 800'!B385,'Sim Reg N° 800'!$K$9,-'Sim Reg N° 800'!$J$10),0))+F385*0.21</f>
        <v>23.402034262371632</v>
      </c>
      <c r="H385" s="14">
        <f t="shared" si="31"/>
        <v>742.86266444567434</v>
      </c>
      <c r="I385" s="14">
        <f t="shared" si="29"/>
        <v>0</v>
      </c>
      <c r="J385" s="14">
        <f t="shared" si="30"/>
        <v>742.86266444567434</v>
      </c>
      <c r="K385" s="26">
        <f t="shared" si="32"/>
        <v>222.85879933370231</v>
      </c>
      <c r="L385" s="21"/>
      <c r="M385" s="19"/>
      <c r="R385" s="20"/>
    </row>
    <row r="386" spans="1:18" hidden="1" x14ac:dyDescent="0.2">
      <c r="A386" s="7"/>
      <c r="B386" s="42">
        <v>353</v>
      </c>
      <c r="C386" s="14">
        <f t="shared" si="28"/>
        <v>4193.0258016897906</v>
      </c>
      <c r="D386" s="14">
        <f>IF(B386&gt;$K$9,"",IF($D$8=Variables!$B$3,PPMT($D$18,B386,$K$9,-$J$10),IF($D$8=Variables!$B$6,PPMT($D$18,B386,$K$9,-$J$10),IF($D$8=Variables!$B$5,PPMT($D$18,B386-12,$K$9-12,-$C$45),IF(AND($D$8=Variables!$B$4,$D$15="si"),0,PPMT($D$18,B386-18,$K$9-18,-$J$10-SUM($L$34:$L$51))))))+IF(AND($D$8=Variables!$B$4,'Sim Reg N° 800'!$D$15="SI"),PPMT($D$18,B386-24,$K$9-24,-$J$10-SUM($M$34:$M$57))))</f>
        <v>590.08570364604725</v>
      </c>
      <c r="E386" s="14">
        <f>IF(B386&gt;$K$9,"",IF($D$8=Variables!$B$3,IPMT($D$18,B386,$K$9,-$J$10),IF($D$8=Variables!$B$6,IPMT($D$18,B386,$K$9,-$J$10),IF($D$8=Variables!$B$5,IPMT($D$18,B386-12,$K$9-12,-$C$45),IF(AND($D$8=Variables!$B$4,$D$15="si"),0,IPMT($D$18,B386-18,$K$9-18,-$J$10-SUM($L$34:$L$51))))))+IF(AND($D$8=Variables!$B$4,'Sim Reg N° 800'!$D$15="SI"),IPMT($D$18,B386-24,$K$9-24,-$J$10-SUM($M$34:$M$57))))</f>
        <v>17.936668145009598</v>
      </c>
      <c r="F386" s="14">
        <f>IF(B386&gt;$K$9,"",IF(AND($D$8=Variables!$B$3,$D$12="SI",$D$19="NO",$D$13="SI",B386&gt;=7),(PMT(0.06/12,$K$9,-$C$33)-PMT(0.045/12,$K$9,-$C$33)),IF(AND($D$8=Variables!$B$5,$D$19="NO",$D$12="SI",$D$13="SI",B386&gt;12),(PMT(0.06/12,$K$9,-$C$45)-PMT(0.045/12,$K$9,-$C$45)),IF(AND($D$8=Variables!$B$4,$D$12="SI",$D$19="NO",$D$13="SI",$D$15="NO",B386&gt;18),(PMT(0.06/12,$K$9,-$C$51)-PMT(0.045/12,$K$9,-$C$51)),IF(AND($D$8=Variables!$B$4,$D$12="SI",$D$19="NO",$D$13="SI",$D$15="SI",B386&gt;24),(PMT(0.06/12,$K$9,-$C$57)-PMT(0.045/12,$K$9,-$C$57)),0)))))</f>
        <v>111.43825839224587</v>
      </c>
      <c r="G386" s="14">
        <f>+IF(B386&gt;$K$9,"",IF($D$8=Variables!$B$6,0.21*IPMT('Sim Reg N° 800'!$D$18,'Sim Reg N° 800'!B386,'Sim Reg N° 800'!$K$9,-'Sim Reg N° 800'!$J$10),0))+F386*0.21</f>
        <v>23.402034262371632</v>
      </c>
      <c r="H386" s="14">
        <f t="shared" si="31"/>
        <v>742.86266444567434</v>
      </c>
      <c r="I386" s="14">
        <f t="shared" si="29"/>
        <v>0</v>
      </c>
      <c r="J386" s="14">
        <f t="shared" si="30"/>
        <v>742.86266444567434</v>
      </c>
      <c r="K386" s="26">
        <f t="shared" si="32"/>
        <v>222.85879933370231</v>
      </c>
      <c r="L386" s="21"/>
      <c r="M386" s="19"/>
      <c r="R386" s="20"/>
    </row>
    <row r="387" spans="1:18" hidden="1" x14ac:dyDescent="0.2">
      <c r="A387" s="7"/>
      <c r="B387" s="42">
        <v>354</v>
      </c>
      <c r="C387" s="14">
        <f t="shared" si="28"/>
        <v>3600.7272766550705</v>
      </c>
      <c r="D387" s="14">
        <f>IF(B387&gt;$K$9,"",IF($D$8=Variables!$B$3,PPMT($D$18,B387,$K$9,-$J$10),IF($D$8=Variables!$B$6,PPMT($D$18,B387,$K$9,-$J$10),IF($D$8=Variables!$B$5,PPMT($D$18,B387-12,$K$9-12,-$C$45),IF(AND($D$8=Variables!$B$4,$D$15="si"),0,PPMT($D$18,B387-18,$K$9-18,-$J$10-SUM($L$34:$L$51))))))+IF(AND($D$8=Variables!$B$4,'Sim Reg N° 800'!$D$15="SI"),PPMT($D$18,B387-24,$K$9-24,-$J$10-SUM($M$34:$M$57))))</f>
        <v>592.29852503471989</v>
      </c>
      <c r="E387" s="14">
        <f>IF(B387&gt;$K$9,"",IF($D$8=Variables!$B$3,IPMT($D$18,B387,$K$9,-$J$10),IF($D$8=Variables!$B$6,IPMT($D$18,B387,$K$9,-$J$10),IF($D$8=Variables!$B$5,IPMT($D$18,B387-12,$K$9-12,-$C$45),IF(AND($D$8=Variables!$B$4,$D$15="si"),0,IPMT($D$18,B387-18,$K$9-18,-$J$10-SUM($L$34:$L$51))))))+IF(AND($D$8=Variables!$B$4,'Sim Reg N° 800'!$D$15="SI"),IPMT($D$18,B387-24,$K$9-24,-$J$10-SUM($M$34:$M$57))))</f>
        <v>15.723846756336918</v>
      </c>
      <c r="F387" s="14">
        <f>IF(B387&gt;$K$9,"",IF(AND($D$8=Variables!$B$3,$D$12="SI",$D$19="NO",$D$13="SI",B387&gt;=7),(PMT(0.06/12,$K$9,-$C$33)-PMT(0.045/12,$K$9,-$C$33)),IF(AND($D$8=Variables!$B$5,$D$19="NO",$D$12="SI",$D$13="SI",B387&gt;12),(PMT(0.06/12,$K$9,-$C$45)-PMT(0.045/12,$K$9,-$C$45)),IF(AND($D$8=Variables!$B$4,$D$12="SI",$D$19="NO",$D$13="SI",$D$15="NO",B387&gt;18),(PMT(0.06/12,$K$9,-$C$51)-PMT(0.045/12,$K$9,-$C$51)),IF(AND($D$8=Variables!$B$4,$D$12="SI",$D$19="NO",$D$13="SI",$D$15="SI",B387&gt;24),(PMT(0.06/12,$K$9,-$C$57)-PMT(0.045/12,$K$9,-$C$57)),0)))))</f>
        <v>111.43825839224587</v>
      </c>
      <c r="G387" s="14">
        <f>+IF(B387&gt;$K$9,"",IF($D$8=Variables!$B$6,0.21*IPMT('Sim Reg N° 800'!$D$18,'Sim Reg N° 800'!B387,'Sim Reg N° 800'!$K$9,-'Sim Reg N° 800'!$J$10),0))+F387*0.21</f>
        <v>23.402034262371632</v>
      </c>
      <c r="H387" s="14">
        <f t="shared" si="31"/>
        <v>742.86266444567434</v>
      </c>
      <c r="I387" s="14">
        <f t="shared" si="29"/>
        <v>0</v>
      </c>
      <c r="J387" s="14">
        <f t="shared" si="30"/>
        <v>742.86266444567434</v>
      </c>
      <c r="K387" s="26">
        <f t="shared" si="32"/>
        <v>222.85879933370231</v>
      </c>
      <c r="L387" s="21"/>
      <c r="M387" s="19"/>
      <c r="R387" s="20"/>
    </row>
    <row r="388" spans="1:18" hidden="1" x14ac:dyDescent="0.2">
      <c r="A388" s="7"/>
      <c r="B388" s="42">
        <v>355</v>
      </c>
      <c r="C388" s="14">
        <f t="shared" si="28"/>
        <v>3006.2076321514705</v>
      </c>
      <c r="D388" s="14">
        <f>IF(B388&gt;$K$9,"",IF($D$8=Variables!$B$3,PPMT($D$18,B388,$K$9,-$J$10),IF($D$8=Variables!$B$6,PPMT($D$18,B388,$K$9,-$J$10),IF($D$8=Variables!$B$5,PPMT($D$18,B388-12,$K$9-12,-$C$45),IF(AND($D$8=Variables!$B$4,$D$15="si"),0,PPMT($D$18,B388-18,$K$9-18,-$J$10-SUM($L$34:$L$51))))))+IF(AND($D$8=Variables!$B$4,'Sim Reg N° 800'!$D$15="SI"),PPMT($D$18,B388-24,$K$9-24,-$J$10-SUM($M$34:$M$57))))</f>
        <v>594.51964450360015</v>
      </c>
      <c r="E388" s="14">
        <f>IF(B388&gt;$K$9,"",IF($D$8=Variables!$B$3,IPMT($D$18,B388,$K$9,-$J$10),IF($D$8=Variables!$B$6,IPMT($D$18,B388,$K$9,-$J$10),IF($D$8=Variables!$B$5,IPMT($D$18,B388-12,$K$9-12,-$C$45),IF(AND($D$8=Variables!$B$4,$D$15="si"),0,IPMT($D$18,B388-18,$K$9-18,-$J$10-SUM($L$34:$L$51))))))+IF(AND($D$8=Variables!$B$4,'Sim Reg N° 800'!$D$15="SI"),IPMT($D$18,B388-24,$K$9-24,-$J$10-SUM($M$34:$M$57))))</f>
        <v>13.50272728745672</v>
      </c>
      <c r="F388" s="14">
        <f>IF(B388&gt;$K$9,"",IF(AND($D$8=Variables!$B$3,$D$12="SI",$D$19="NO",$D$13="SI",B388&gt;=7),(PMT(0.06/12,$K$9,-$C$33)-PMT(0.045/12,$K$9,-$C$33)),IF(AND($D$8=Variables!$B$5,$D$19="NO",$D$12="SI",$D$13="SI",B388&gt;12),(PMT(0.06/12,$K$9,-$C$45)-PMT(0.045/12,$K$9,-$C$45)),IF(AND($D$8=Variables!$B$4,$D$12="SI",$D$19="NO",$D$13="SI",$D$15="NO",B388&gt;18),(PMT(0.06/12,$K$9,-$C$51)-PMT(0.045/12,$K$9,-$C$51)),IF(AND($D$8=Variables!$B$4,$D$12="SI",$D$19="NO",$D$13="SI",$D$15="SI",B388&gt;24),(PMT(0.06/12,$K$9,-$C$57)-PMT(0.045/12,$K$9,-$C$57)),0)))))</f>
        <v>111.43825839224587</v>
      </c>
      <c r="G388" s="14">
        <f>+IF(B388&gt;$K$9,"",IF($D$8=Variables!$B$6,0.21*IPMT('Sim Reg N° 800'!$D$18,'Sim Reg N° 800'!B388,'Sim Reg N° 800'!$K$9,-'Sim Reg N° 800'!$J$10),0))+F388*0.21</f>
        <v>23.402034262371632</v>
      </c>
      <c r="H388" s="14">
        <f t="shared" si="31"/>
        <v>742.86266444567434</v>
      </c>
      <c r="I388" s="14">
        <f t="shared" si="29"/>
        <v>0</v>
      </c>
      <c r="J388" s="14">
        <f t="shared" si="30"/>
        <v>742.86266444567434</v>
      </c>
      <c r="K388" s="26">
        <f t="shared" si="32"/>
        <v>222.85879933370231</v>
      </c>
      <c r="L388" s="21"/>
      <c r="M388" s="19"/>
      <c r="R388" s="20"/>
    </row>
    <row r="389" spans="1:18" hidden="1" x14ac:dyDescent="0.2">
      <c r="A389" s="7"/>
      <c r="B389" s="42">
        <v>356</v>
      </c>
      <c r="C389" s="14">
        <f t="shared" si="28"/>
        <v>2409.4585389809818</v>
      </c>
      <c r="D389" s="14">
        <f>IF(B389&gt;$K$9,"",IF($D$8=Variables!$B$3,PPMT($D$18,B389,$K$9,-$J$10),IF($D$8=Variables!$B$6,PPMT($D$18,B389,$K$9,-$J$10),IF($D$8=Variables!$B$5,PPMT($D$18,B389-12,$K$9-12,-$C$45),IF(AND($D$8=Variables!$B$4,$D$15="si"),0,PPMT($D$18,B389-18,$K$9-18,-$J$10-SUM($L$34:$L$51))))))+IF(AND($D$8=Variables!$B$4,'Sim Reg N° 800'!$D$15="SI"),PPMT($D$18,B389-24,$K$9-24,-$J$10-SUM($M$34:$M$57))))</f>
        <v>596.74909317048866</v>
      </c>
      <c r="E389" s="14">
        <f>IF(B389&gt;$K$9,"",IF($D$8=Variables!$B$3,IPMT($D$18,B389,$K$9,-$J$10),IF($D$8=Variables!$B$6,IPMT($D$18,B389,$K$9,-$J$10),IF($D$8=Variables!$B$5,IPMT($D$18,B389-12,$K$9-12,-$C$45),IF(AND($D$8=Variables!$B$4,$D$15="si"),0,IPMT($D$18,B389-18,$K$9-18,-$J$10-SUM($L$34:$L$51))))))+IF(AND($D$8=Variables!$B$4,'Sim Reg N° 800'!$D$15="SI"),IPMT($D$18,B389-24,$K$9-24,-$J$10-SUM($M$34:$M$57))))</f>
        <v>11.273278620568218</v>
      </c>
      <c r="F389" s="14">
        <f>IF(B389&gt;$K$9,"",IF(AND($D$8=Variables!$B$3,$D$12="SI",$D$19="NO",$D$13="SI",B389&gt;=7),(PMT(0.06/12,$K$9,-$C$33)-PMT(0.045/12,$K$9,-$C$33)),IF(AND($D$8=Variables!$B$5,$D$19="NO",$D$12="SI",$D$13="SI",B389&gt;12),(PMT(0.06/12,$K$9,-$C$45)-PMT(0.045/12,$K$9,-$C$45)),IF(AND($D$8=Variables!$B$4,$D$12="SI",$D$19="NO",$D$13="SI",$D$15="NO",B389&gt;18),(PMT(0.06/12,$K$9,-$C$51)-PMT(0.045/12,$K$9,-$C$51)),IF(AND($D$8=Variables!$B$4,$D$12="SI",$D$19="NO",$D$13="SI",$D$15="SI",B389&gt;24),(PMT(0.06/12,$K$9,-$C$57)-PMT(0.045/12,$K$9,-$C$57)),0)))))</f>
        <v>111.43825839224587</v>
      </c>
      <c r="G389" s="14">
        <f>+IF(B389&gt;$K$9,"",IF($D$8=Variables!$B$6,0.21*IPMT('Sim Reg N° 800'!$D$18,'Sim Reg N° 800'!B389,'Sim Reg N° 800'!$K$9,-'Sim Reg N° 800'!$J$10),0))+F389*0.21</f>
        <v>23.402034262371632</v>
      </c>
      <c r="H389" s="14">
        <f t="shared" si="31"/>
        <v>742.86266444567434</v>
      </c>
      <c r="I389" s="14">
        <f t="shared" si="29"/>
        <v>0</v>
      </c>
      <c r="J389" s="14">
        <f t="shared" si="30"/>
        <v>742.86266444567434</v>
      </c>
      <c r="K389" s="26">
        <f t="shared" si="32"/>
        <v>222.85879933370231</v>
      </c>
      <c r="L389" s="21"/>
      <c r="M389" s="19"/>
      <c r="R389" s="20"/>
    </row>
    <row r="390" spans="1:18" hidden="1" x14ac:dyDescent="0.2">
      <c r="A390" s="7"/>
      <c r="B390" s="42">
        <v>357</v>
      </c>
      <c r="C390" s="14">
        <f t="shared" si="28"/>
        <v>1810.4716367111037</v>
      </c>
      <c r="D390" s="14">
        <f>IF(B390&gt;$K$9,"",IF($D$8=Variables!$B$3,PPMT($D$18,B390,$K$9,-$J$10),IF($D$8=Variables!$B$6,PPMT($D$18,B390,$K$9,-$J$10),IF($D$8=Variables!$B$5,PPMT($D$18,B390-12,$K$9-12,-$C$45),IF(AND($D$8=Variables!$B$4,$D$15="si"),0,PPMT($D$18,B390-18,$K$9-18,-$J$10-SUM($L$34:$L$51))))))+IF(AND($D$8=Variables!$B$4,'Sim Reg N° 800'!$D$15="SI"),PPMT($D$18,B390-24,$K$9-24,-$J$10-SUM($M$34:$M$57))))</f>
        <v>598.98690226987799</v>
      </c>
      <c r="E390" s="14">
        <f>IF(B390&gt;$K$9,"",IF($D$8=Variables!$B$3,IPMT($D$18,B390,$K$9,-$J$10),IF($D$8=Variables!$B$6,IPMT($D$18,B390,$K$9,-$J$10),IF($D$8=Variables!$B$5,IPMT($D$18,B390-12,$K$9-12,-$C$45),IF(AND($D$8=Variables!$B$4,$D$15="si"),0,IPMT($D$18,B390-18,$K$9-18,-$J$10-SUM($L$34:$L$51))))))+IF(AND($D$8=Variables!$B$4,'Sim Reg N° 800'!$D$15="SI"),IPMT($D$18,B390-24,$K$9-24,-$J$10-SUM($M$34:$M$57))))</f>
        <v>9.0354695211788858</v>
      </c>
      <c r="F390" s="14">
        <f>IF(B390&gt;$K$9,"",IF(AND($D$8=Variables!$B$3,$D$12="SI",$D$19="NO",$D$13="SI",B390&gt;=7),(PMT(0.06/12,$K$9,-$C$33)-PMT(0.045/12,$K$9,-$C$33)),IF(AND($D$8=Variables!$B$5,$D$19="NO",$D$12="SI",$D$13="SI",B390&gt;12),(PMT(0.06/12,$K$9,-$C$45)-PMT(0.045/12,$K$9,-$C$45)),IF(AND($D$8=Variables!$B$4,$D$12="SI",$D$19="NO",$D$13="SI",$D$15="NO",B390&gt;18),(PMT(0.06/12,$K$9,-$C$51)-PMT(0.045/12,$K$9,-$C$51)),IF(AND($D$8=Variables!$B$4,$D$12="SI",$D$19="NO",$D$13="SI",$D$15="SI",B390&gt;24),(PMT(0.06/12,$K$9,-$C$57)-PMT(0.045/12,$K$9,-$C$57)),0)))))</f>
        <v>111.43825839224587</v>
      </c>
      <c r="G390" s="14">
        <f>+IF(B390&gt;$K$9,"",IF($D$8=Variables!$B$6,0.21*IPMT('Sim Reg N° 800'!$D$18,'Sim Reg N° 800'!B390,'Sim Reg N° 800'!$K$9,-'Sim Reg N° 800'!$J$10),0))+F390*0.21</f>
        <v>23.402034262371632</v>
      </c>
      <c r="H390" s="14">
        <f t="shared" si="31"/>
        <v>742.86266444567434</v>
      </c>
      <c r="I390" s="14">
        <f t="shared" si="29"/>
        <v>0</v>
      </c>
      <c r="J390" s="14">
        <f t="shared" si="30"/>
        <v>742.86266444567434</v>
      </c>
      <c r="K390" s="26">
        <f t="shared" si="32"/>
        <v>222.85879933370231</v>
      </c>
      <c r="L390" s="21"/>
      <c r="M390" s="19"/>
      <c r="R390" s="20"/>
    </row>
    <row r="391" spans="1:18" hidden="1" x14ac:dyDescent="0.2">
      <c r="A391" s="7"/>
      <c r="B391" s="42">
        <v>358</v>
      </c>
      <c r="C391" s="14">
        <f t="shared" si="28"/>
        <v>1209.2385335577137</v>
      </c>
      <c r="D391" s="14">
        <f>IF(B391&gt;$K$9,"",IF($D$8=Variables!$B$3,PPMT($D$18,B391,$K$9,-$J$10),IF($D$8=Variables!$B$6,PPMT($D$18,B391,$K$9,-$J$10),IF($D$8=Variables!$B$5,PPMT($D$18,B391-12,$K$9-12,-$C$45),IF(AND($D$8=Variables!$B$4,$D$15="si"),0,PPMT($D$18,B391-18,$K$9-18,-$J$10-SUM($L$34:$L$51))))))+IF(AND($D$8=Variables!$B$4,'Sim Reg N° 800'!$D$15="SI"),PPMT($D$18,B391-24,$K$9-24,-$J$10-SUM($M$34:$M$57))))</f>
        <v>601.23310315339006</v>
      </c>
      <c r="E391" s="14">
        <f>IF(B391&gt;$K$9,"",IF($D$8=Variables!$B$3,IPMT($D$18,B391,$K$9,-$J$10),IF($D$8=Variables!$B$6,IPMT($D$18,B391,$K$9,-$J$10),IF($D$8=Variables!$B$5,IPMT($D$18,B391-12,$K$9-12,-$C$45),IF(AND($D$8=Variables!$B$4,$D$15="si"),0,IPMT($D$18,B391-18,$K$9-18,-$J$10-SUM($L$34:$L$51))))))+IF(AND($D$8=Variables!$B$4,'Sim Reg N° 800'!$D$15="SI"),IPMT($D$18,B391-24,$K$9-24,-$J$10-SUM($M$34:$M$57))))</f>
        <v>6.7892686376668445</v>
      </c>
      <c r="F391" s="14">
        <f>IF(B391&gt;$K$9,"",IF(AND($D$8=Variables!$B$3,$D$12="SI",$D$19="NO",$D$13="SI",B391&gt;=7),(PMT(0.06/12,$K$9,-$C$33)-PMT(0.045/12,$K$9,-$C$33)),IF(AND($D$8=Variables!$B$5,$D$19="NO",$D$12="SI",$D$13="SI",B391&gt;12),(PMT(0.06/12,$K$9,-$C$45)-PMT(0.045/12,$K$9,-$C$45)),IF(AND($D$8=Variables!$B$4,$D$12="SI",$D$19="NO",$D$13="SI",$D$15="NO",B391&gt;18),(PMT(0.06/12,$K$9,-$C$51)-PMT(0.045/12,$K$9,-$C$51)),IF(AND($D$8=Variables!$B$4,$D$12="SI",$D$19="NO",$D$13="SI",$D$15="SI",B391&gt;24),(PMT(0.06/12,$K$9,-$C$57)-PMT(0.045/12,$K$9,-$C$57)),0)))))</f>
        <v>111.43825839224587</v>
      </c>
      <c r="G391" s="14">
        <f>+IF(B391&gt;$K$9,"",IF($D$8=Variables!$B$6,0.21*IPMT('Sim Reg N° 800'!$D$18,'Sim Reg N° 800'!B391,'Sim Reg N° 800'!$K$9,-'Sim Reg N° 800'!$J$10),0))+F391*0.21</f>
        <v>23.402034262371632</v>
      </c>
      <c r="H391" s="14">
        <f t="shared" si="31"/>
        <v>742.86266444567445</v>
      </c>
      <c r="I391" s="14">
        <f t="shared" si="29"/>
        <v>0</v>
      </c>
      <c r="J391" s="14">
        <f t="shared" si="30"/>
        <v>742.86266444567445</v>
      </c>
      <c r="K391" s="26">
        <f t="shared" si="32"/>
        <v>222.85879933370234</v>
      </c>
      <c r="L391" s="21"/>
      <c r="M391" s="19"/>
      <c r="R391" s="20"/>
    </row>
    <row r="392" spans="1:18" hidden="1" x14ac:dyDescent="0.2">
      <c r="A392" s="7"/>
      <c r="B392" s="42">
        <v>359</v>
      </c>
      <c r="C392" s="14">
        <f t="shared" si="28"/>
        <v>605.75080626749855</v>
      </c>
      <c r="D392" s="14">
        <f>IF(B392&gt;$K$9,"",IF($D$8=Variables!$B$3,PPMT($D$18,B392,$K$9,-$J$10),IF($D$8=Variables!$B$6,PPMT($D$18,B392,$K$9,-$J$10),IF($D$8=Variables!$B$5,PPMT($D$18,B392-12,$K$9-12,-$C$45),IF(AND($D$8=Variables!$B$4,$D$15="si"),0,PPMT($D$18,B392-18,$K$9-18,-$J$10-SUM($L$34:$L$51))))))+IF(AND($D$8=Variables!$B$4,'Sim Reg N° 800'!$D$15="SI"),PPMT($D$18,B392-24,$K$9-24,-$J$10-SUM($M$34:$M$57))))</f>
        <v>603.48772729021516</v>
      </c>
      <c r="E392" s="14">
        <f>IF(B392&gt;$K$9,"",IF($D$8=Variables!$B$3,IPMT($D$18,B392,$K$9,-$J$10),IF($D$8=Variables!$B$6,IPMT($D$18,B392,$K$9,-$J$10),IF($D$8=Variables!$B$5,IPMT($D$18,B392-12,$K$9-12,-$C$45),IF(AND($D$8=Variables!$B$4,$D$15="si"),0,IPMT($D$18,B392-18,$K$9-18,-$J$10-SUM($L$34:$L$51))))))+IF(AND($D$8=Variables!$B$4,'Sim Reg N° 800'!$D$15="SI"),IPMT($D$18,B392-24,$K$9-24,-$J$10-SUM($M$34:$M$57))))</f>
        <v>4.5346445008416314</v>
      </c>
      <c r="F392" s="14">
        <f>IF(B392&gt;$K$9,"",IF(AND($D$8=Variables!$B$3,$D$12="SI",$D$19="NO",$D$13="SI",B392&gt;=7),(PMT(0.06/12,$K$9,-$C$33)-PMT(0.045/12,$K$9,-$C$33)),IF(AND($D$8=Variables!$B$5,$D$19="NO",$D$12="SI",$D$13="SI",B392&gt;12),(PMT(0.06/12,$K$9,-$C$45)-PMT(0.045/12,$K$9,-$C$45)),IF(AND($D$8=Variables!$B$4,$D$12="SI",$D$19="NO",$D$13="SI",$D$15="NO",B392&gt;18),(PMT(0.06/12,$K$9,-$C$51)-PMT(0.045/12,$K$9,-$C$51)),IF(AND($D$8=Variables!$B$4,$D$12="SI",$D$19="NO",$D$13="SI",$D$15="SI",B392&gt;24),(PMT(0.06/12,$K$9,-$C$57)-PMT(0.045/12,$K$9,-$C$57)),0)))))</f>
        <v>111.43825839224587</v>
      </c>
      <c r="G392" s="14">
        <f>+IF(B392&gt;$K$9,"",IF($D$8=Variables!$B$6,0.21*IPMT('Sim Reg N° 800'!$D$18,'Sim Reg N° 800'!B392,'Sim Reg N° 800'!$K$9,-'Sim Reg N° 800'!$J$10),0))+F392*0.21</f>
        <v>23.402034262371632</v>
      </c>
      <c r="H392" s="14">
        <f t="shared" si="31"/>
        <v>742.86266444567434</v>
      </c>
      <c r="I392" s="14">
        <f t="shared" si="29"/>
        <v>0</v>
      </c>
      <c r="J392" s="14">
        <f t="shared" si="30"/>
        <v>742.86266444567434</v>
      </c>
      <c r="K392" s="26">
        <f t="shared" si="32"/>
        <v>222.85879933370231</v>
      </c>
      <c r="L392" s="21"/>
      <c r="M392" s="19"/>
      <c r="R392" s="20"/>
    </row>
    <row r="393" spans="1:18" ht="15.75" hidden="1" thickBot="1" x14ac:dyDescent="0.25">
      <c r="A393" s="7"/>
      <c r="B393" s="43">
        <v>360</v>
      </c>
      <c r="C393" s="16">
        <f t="shared" si="28"/>
        <v>-5.5024429457262158E-11</v>
      </c>
      <c r="D393" s="52">
        <f>IF(B393&gt;$K$9,"",IF($D$8=Variables!$B$3,PPMT($D$18,B393,$K$9,-$J$10),IF($D$8=Variables!$B$6,PPMT($D$18,B393,$K$9,-$J$10),IF($D$8=Variables!$B$5,PPMT($D$18,B393-12,$K$9-12,-$C$45),IF(AND($D$8=Variables!$B$4,$D$15="si"),0,PPMT($D$18,B393-18,$K$9-18,-$J$10-SUM($L$34:$L$51))))))+IF(AND($D$8=Variables!$B$4,'Sim Reg N° 800'!$D$15="SI"),PPMT($D$18,B393-24,$K$9-24,-$J$10-SUM($M$34:$M$57))))</f>
        <v>605.75080626755357</v>
      </c>
      <c r="E393" s="52">
        <f>IF(B393&gt;$K$9,"",IF($D$8=Variables!$B$3,IPMT($D$18,B393,$K$9,-$J$10),IF($D$8=Variables!$B$6,IPMT($D$18,B393,$K$9,-$J$10),IF($D$8=Variables!$B$5,IPMT($D$18,B393-12,$K$9-12,-$C$45),IF(AND($D$8=Variables!$B$4,$D$15="si"),0,IPMT($D$18,B393-18,$K$9-18,-$J$10-SUM($L$34:$L$51))))))+IF(AND($D$8=Variables!$B$4,'Sim Reg N° 800'!$D$15="SI"),IPMT($D$18,B393-24,$K$9-24,-$J$10-SUM($M$34:$M$57))))</f>
        <v>2.2715655235033254</v>
      </c>
      <c r="F393" s="52">
        <f>IF(B393&gt;$K$9,"",IF(AND($D$8=Variables!$B$3,$D$12="SI",$D$19="NO",$D$13="SI",B393&gt;=7),(PMT(0.06/12,$K$9,-$C$33)-PMT(0.045/12,$K$9,-$C$33)),IF(AND($D$8=Variables!$B$5,$D$19="NO",$D$12="SI",$D$13="SI",B393&gt;12),(PMT(0.06/12,$K$9,-$C$45)-PMT(0.045/12,$K$9,-$C$45)),IF(AND($D$8=Variables!$B$4,$D$12="SI",$D$19="NO",$D$13="SI",$D$15="NO",B393&gt;18),(PMT(0.06/12,$K$9,-$C$51)-PMT(0.045/12,$K$9,-$C$51)),IF(AND($D$8=Variables!$B$4,$D$12="SI",$D$19="NO",$D$13="SI",$D$15="SI",B393&gt;24),(PMT(0.06/12,$K$9,-$C$57)-PMT(0.045/12,$K$9,-$C$57)),0)))))</f>
        <v>111.43825839224587</v>
      </c>
      <c r="G393" s="52">
        <f>+IF(B393&gt;$K$9,"",IF($D$8=Variables!$B$6,0.21*IPMT('Sim Reg N° 800'!$D$18,'Sim Reg N° 800'!B393,'Sim Reg N° 800'!$K$9,-'Sim Reg N° 800'!$J$10),0))+F393*0.21</f>
        <v>23.402034262371632</v>
      </c>
      <c r="H393" s="52">
        <f t="shared" si="31"/>
        <v>742.86266444567445</v>
      </c>
      <c r="I393" s="52">
        <f t="shared" si="29"/>
        <v>0</v>
      </c>
      <c r="J393" s="16">
        <f t="shared" si="30"/>
        <v>742.86266444567445</v>
      </c>
      <c r="K393" s="26">
        <f t="shared" si="32"/>
        <v>222.85879933370234</v>
      </c>
      <c r="L393" s="21"/>
      <c r="M393" s="19"/>
      <c r="R393" s="20"/>
    </row>
    <row r="394" spans="1:18" hidden="1" x14ac:dyDescent="0.25">
      <c r="D394" s="19"/>
      <c r="E394" s="8"/>
      <c r="F394" s="8"/>
    </row>
    <row r="395" spans="1:18" ht="15.75" thickTop="1" x14ac:dyDescent="0.25">
      <c r="E395" s="2"/>
      <c r="F395" s="2"/>
    </row>
  </sheetData>
  <sheetProtection algorithmName="SHA-512" hashValue="DkX5hyLqMbD97ZcF8uQm9BL2pNsTvAnoBBmUf+sR6VaThR+wFwvmTVG+rrrPK6L8oTs5/3pgkxsM8lcLbHVKHw==" saltValue="43Ems68hGgZsVdnYCcX+gg==" spinCount="100000" sheet="1" selectLockedCells="1"/>
  <mergeCells count="26">
    <mergeCell ref="H8:I8"/>
    <mergeCell ref="H9:I9"/>
    <mergeCell ref="H10:I10"/>
    <mergeCell ref="H16:I16"/>
    <mergeCell ref="I30:I32"/>
    <mergeCell ref="H18:I18"/>
    <mergeCell ref="H23:J23"/>
    <mergeCell ref="J30:J32"/>
    <mergeCell ref="H30:H32"/>
    <mergeCell ref="H19:I19"/>
    <mergeCell ref="H17:I17"/>
    <mergeCell ref="H14:I14"/>
    <mergeCell ref="H15:J15"/>
    <mergeCell ref="E9:G9"/>
    <mergeCell ref="E10:G10"/>
    <mergeCell ref="B22:G28"/>
    <mergeCell ref="E11:G11"/>
    <mergeCell ref="E13:G13"/>
    <mergeCell ref="C13:C14"/>
    <mergeCell ref="E14:G14"/>
    <mergeCell ref="B30:B32"/>
    <mergeCell ref="G30:G31"/>
    <mergeCell ref="C30:C32"/>
    <mergeCell ref="D30:D32"/>
    <mergeCell ref="E30:E32"/>
    <mergeCell ref="F30:F32"/>
  </mergeCells>
  <pageMargins left="0.70866141732283472" right="0.70866141732283472" top="0.74803149606299213" bottom="0.74803149606299213" header="0.31496062992125984" footer="0.31496062992125984"/>
  <pageSetup paperSize="9" scale="39" fitToHeight="0" orientation="portrait" r:id="rId1"/>
  <ignoredErrors>
    <ignoredError sqref="C51" formula="1"/>
    <ignoredError sqref="J8"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3AF5976-58C8-443B-B928-BCDC74FE3E7C}">
          <x14:formula1>
            <xm:f>Variables!$B$3:$B$6</xm:f>
          </x14:formula1>
          <xm:sqref>D8</xm:sqref>
        </x14:dataValidation>
        <x14:dataValidation type="list" allowBlank="1" showInputMessage="1" showErrorMessage="1" xr:uid="{03E6A112-C7CF-49B6-86F3-D70F518FCEDA}">
          <x14:formula1>
            <xm:f>Variables!$C$8:$C$9</xm:f>
          </x14:formula1>
          <xm:sqref>D12</xm:sqref>
        </x14:dataValidation>
        <x14:dataValidation type="list" allowBlank="1" showInputMessage="1" showErrorMessage="1" xr:uid="{A8A3ED00-952A-4B3A-BCC7-C6D502B8AEBE}">
          <x14:formula1>
            <xm:f>Variables!$C$11:$C$12</xm:f>
          </x14:formula1>
          <xm:sqref>D15 D13</xm:sqref>
        </x14:dataValidation>
        <x14:dataValidation type="list" allowBlank="1" showInputMessage="1" showErrorMessage="1" xr:uid="{7F07AE57-DA0B-461F-9776-85B0AF14AD38}">
          <x14:formula1>
            <xm:f>IF($D$8=Variables!$B$5,Variables!$C$30:$C$32,Variables!$C$30:$C$35)</xm:f>
          </x14:formula1>
          <xm:sqref>D11</xm:sqref>
        </x14:dataValidation>
        <x14:dataValidation type="list" allowBlank="1" showInputMessage="1" showErrorMessage="1" xr:uid="{33585162-427E-4CAB-AC3D-B6101EE297D3}">
          <x14:formula1>
            <xm:f>Variables!$C$53:$C$54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84B8-6448-4998-8A1A-E9E72A6DB303}">
  <sheetPr codeName="Hoja2"/>
  <dimension ref="A1:C2"/>
  <sheetViews>
    <sheetView workbookViewId="0">
      <selection activeCell="A2" sqref="A2"/>
    </sheetView>
  </sheetViews>
  <sheetFormatPr baseColWidth="10" defaultRowHeight="15" x14ac:dyDescent="0.25"/>
  <cols>
    <col min="1" max="1" width="80.28515625" bestFit="1" customWidth="1"/>
    <col min="2" max="2" width="16.5703125" bestFit="1" customWidth="1"/>
    <col min="3" max="3" width="16.140625" bestFit="1" customWidth="1"/>
  </cols>
  <sheetData>
    <row r="1" spans="1:3" x14ac:dyDescent="0.25">
      <c r="A1" t="s">
        <v>59</v>
      </c>
      <c r="B1" t="s">
        <v>60</v>
      </c>
      <c r="C1" t="s">
        <v>61</v>
      </c>
    </row>
    <row r="2" spans="1:3" x14ac:dyDescent="0.25">
      <c r="A2" t="s">
        <v>62</v>
      </c>
      <c r="B2" t="s">
        <v>64</v>
      </c>
      <c r="C2">
        <v>1057.1400000000001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2854-9C20-4680-82FE-D6D64B750237}">
  <sheetPr codeName="Hoja3"/>
  <dimension ref="B2:S54"/>
  <sheetViews>
    <sheetView workbookViewId="0">
      <selection activeCell="A2" sqref="A2"/>
    </sheetView>
  </sheetViews>
  <sheetFormatPr baseColWidth="10" defaultColWidth="11.42578125" defaultRowHeight="15" x14ac:dyDescent="0.25"/>
  <cols>
    <col min="1" max="1" width="11.42578125" style="1"/>
    <col min="2" max="2" width="43" style="1" bestFit="1" customWidth="1"/>
    <col min="3" max="3" width="9" style="1" bestFit="1" customWidth="1"/>
    <col min="4" max="4" width="20.5703125" style="1" bestFit="1" customWidth="1"/>
    <col min="5" max="16384" width="11.42578125" style="1"/>
  </cols>
  <sheetData>
    <row r="2" spans="2:19" x14ac:dyDescent="0.25">
      <c r="B2" s="1" t="s">
        <v>3</v>
      </c>
    </row>
    <row r="3" spans="2:19" ht="94.5" customHeight="1" x14ac:dyDescent="0.25">
      <c r="B3" s="1" t="s">
        <v>7</v>
      </c>
      <c r="D3" s="94" t="s">
        <v>49</v>
      </c>
      <c r="E3" s="95"/>
      <c r="F3" s="95"/>
      <c r="G3" s="95"/>
      <c r="H3" s="95"/>
      <c r="I3" s="95"/>
      <c r="J3" s="95"/>
      <c r="K3" s="95"/>
      <c r="L3" s="95"/>
      <c r="M3" s="95"/>
      <c r="N3" s="95"/>
      <c r="O3" s="95"/>
      <c r="P3" s="95"/>
      <c r="Q3" s="95"/>
      <c r="R3" s="95"/>
      <c r="S3" s="95"/>
    </row>
    <row r="4" spans="2:19" ht="120.75" customHeight="1" x14ac:dyDescent="0.25">
      <c r="B4" s="1" t="s">
        <v>4</v>
      </c>
      <c r="D4" s="94" t="s">
        <v>51</v>
      </c>
      <c r="E4" s="94"/>
      <c r="F4" s="94"/>
      <c r="G4" s="94"/>
      <c r="H4" s="94"/>
      <c r="I4" s="94"/>
      <c r="J4" s="94"/>
      <c r="K4" s="94"/>
      <c r="L4" s="94"/>
      <c r="M4" s="94"/>
      <c r="N4" s="94"/>
      <c r="O4" s="94"/>
      <c r="P4" s="94"/>
      <c r="Q4" s="94"/>
      <c r="R4" s="94"/>
      <c r="S4" s="94"/>
    </row>
    <row r="5" spans="2:19" ht="129" customHeight="1" x14ac:dyDescent="0.25">
      <c r="B5" s="1" t="s">
        <v>5</v>
      </c>
      <c r="D5" s="94"/>
      <c r="E5" s="94"/>
      <c r="F5" s="94"/>
      <c r="G5" s="94"/>
      <c r="H5" s="94"/>
      <c r="I5" s="94"/>
      <c r="J5" s="94"/>
      <c r="K5" s="94"/>
      <c r="L5" s="94"/>
      <c r="M5" s="94"/>
      <c r="N5" s="94"/>
      <c r="O5" s="94"/>
      <c r="P5" s="94"/>
      <c r="Q5" s="94"/>
      <c r="R5" s="94"/>
      <c r="S5" s="94"/>
    </row>
    <row r="6" spans="2:19" ht="132.75" customHeight="1" x14ac:dyDescent="0.25">
      <c r="B6" s="1" t="s">
        <v>6</v>
      </c>
      <c r="D6" s="94" t="s">
        <v>63</v>
      </c>
      <c r="E6" s="95"/>
      <c r="F6" s="95"/>
      <c r="G6" s="95"/>
      <c r="H6" s="95"/>
      <c r="I6" s="95"/>
      <c r="J6" s="95"/>
      <c r="K6" s="95"/>
      <c r="L6" s="95"/>
      <c r="M6" s="95"/>
      <c r="N6" s="95"/>
      <c r="O6" s="95"/>
      <c r="P6" s="95"/>
      <c r="Q6" s="95"/>
      <c r="R6" s="95"/>
      <c r="S6" s="95"/>
    </row>
    <row r="8" spans="2:19" x14ac:dyDescent="0.25">
      <c r="B8" s="1" t="s">
        <v>0</v>
      </c>
      <c r="C8" s="2" t="s">
        <v>1</v>
      </c>
    </row>
    <row r="9" spans="2:19" x14ac:dyDescent="0.25">
      <c r="C9" s="2" t="s">
        <v>2</v>
      </c>
    </row>
    <row r="10" spans="2:19" x14ac:dyDescent="0.25">
      <c r="C10" s="2"/>
    </row>
    <row r="11" spans="2:19" x14ac:dyDescent="0.25">
      <c r="B11" s="1" t="s">
        <v>16</v>
      </c>
      <c r="C11" s="2" t="s">
        <v>1</v>
      </c>
    </row>
    <row r="12" spans="2:19" x14ac:dyDescent="0.25">
      <c r="C12" s="2" t="s">
        <v>2</v>
      </c>
    </row>
    <row r="13" spans="2:19" x14ac:dyDescent="0.25">
      <c r="C13" s="2"/>
    </row>
    <row r="14" spans="2:19" x14ac:dyDescent="0.25">
      <c r="B14" s="1" t="s">
        <v>14</v>
      </c>
      <c r="C14" s="3">
        <v>0.75</v>
      </c>
    </row>
    <row r="15" spans="2:19" x14ac:dyDescent="0.25">
      <c r="C15" s="3"/>
    </row>
    <row r="16" spans="2:19" x14ac:dyDescent="0.25">
      <c r="B16" s="1" t="s">
        <v>17</v>
      </c>
      <c r="C16" s="3">
        <v>0.25</v>
      </c>
    </row>
    <row r="18" spans="2:4" x14ac:dyDescent="0.25">
      <c r="B18" s="1" t="s">
        <v>9</v>
      </c>
      <c r="C18" s="4">
        <v>160000</v>
      </c>
    </row>
    <row r="19" spans="2:4" x14ac:dyDescent="0.25">
      <c r="C19" s="4">
        <v>290000</v>
      </c>
    </row>
    <row r="21" spans="2:4" x14ac:dyDescent="0.25">
      <c r="B21" s="1" t="s">
        <v>27</v>
      </c>
      <c r="C21" s="5">
        <v>120000</v>
      </c>
    </row>
    <row r="22" spans="2:4" x14ac:dyDescent="0.25">
      <c r="B22" s="1" t="s">
        <v>28</v>
      </c>
      <c r="C22" s="5">
        <v>90000</v>
      </c>
    </row>
    <row r="23" spans="2:4" x14ac:dyDescent="0.25">
      <c r="B23" s="1" t="s">
        <v>13</v>
      </c>
      <c r="C23" s="5">
        <v>15000</v>
      </c>
    </row>
    <row r="25" spans="2:4" x14ac:dyDescent="0.25">
      <c r="B25" s="1" t="s">
        <v>8</v>
      </c>
      <c r="C25" s="3">
        <v>4.4999999999999998E-2</v>
      </c>
    </row>
    <row r="26" spans="2:4" x14ac:dyDescent="0.25">
      <c r="C26" s="3">
        <v>0.08</v>
      </c>
    </row>
    <row r="27" spans="2:4" x14ac:dyDescent="0.25">
      <c r="B27" s="1" t="s">
        <v>10</v>
      </c>
      <c r="C27" s="3">
        <v>1.4999999999999999E-2</v>
      </c>
    </row>
    <row r="28" spans="2:4" x14ac:dyDescent="0.25">
      <c r="B28" s="3"/>
      <c r="C28" s="3"/>
      <c r="D28" s="3"/>
    </row>
    <row r="29" spans="2:4" x14ac:dyDescent="0.25">
      <c r="B29" s="3" t="s">
        <v>11</v>
      </c>
    </row>
    <row r="30" spans="2:4" x14ac:dyDescent="0.25">
      <c r="B30" s="1" t="s">
        <v>18</v>
      </c>
      <c r="C30" s="2">
        <v>5</v>
      </c>
      <c r="D30" s="1" t="s">
        <v>12</v>
      </c>
    </row>
    <row r="31" spans="2:4" x14ac:dyDescent="0.25">
      <c r="C31" s="2">
        <v>10</v>
      </c>
    </row>
    <row r="32" spans="2:4" x14ac:dyDescent="0.25">
      <c r="C32" s="2">
        <v>15</v>
      </c>
    </row>
    <row r="33" spans="2:6" x14ac:dyDescent="0.25">
      <c r="C33" s="2">
        <v>20</v>
      </c>
    </row>
    <row r="34" spans="2:6" x14ac:dyDescent="0.25">
      <c r="C34" s="2">
        <v>25</v>
      </c>
    </row>
    <row r="35" spans="2:6" x14ac:dyDescent="0.25">
      <c r="C35" s="2">
        <v>30</v>
      </c>
    </row>
    <row r="36" spans="2:6" x14ac:dyDescent="0.25">
      <c r="B36" s="1" t="s">
        <v>19</v>
      </c>
      <c r="C36" s="2">
        <v>5</v>
      </c>
    </row>
    <row r="37" spans="2:6" x14ac:dyDescent="0.25">
      <c r="C37" s="2">
        <v>10</v>
      </c>
    </row>
    <row r="38" spans="2:6" x14ac:dyDescent="0.25">
      <c r="C38" s="2">
        <v>15</v>
      </c>
    </row>
    <row r="40" spans="2:6" x14ac:dyDescent="0.25">
      <c r="B40" s="1" t="s">
        <v>15</v>
      </c>
      <c r="C40" s="2" t="s">
        <v>1</v>
      </c>
    </row>
    <row r="41" spans="2:6" x14ac:dyDescent="0.25">
      <c r="C41" s="2" t="s">
        <v>2</v>
      </c>
    </row>
    <row r="42" spans="2:6" x14ac:dyDescent="0.25">
      <c r="C42" s="2"/>
    </row>
    <row r="43" spans="2:6" x14ac:dyDescent="0.25">
      <c r="B43" s="2" t="s">
        <v>20</v>
      </c>
      <c r="C43" s="2">
        <v>18</v>
      </c>
      <c r="D43" s="2" t="s">
        <v>21</v>
      </c>
      <c r="E43" s="2">
        <v>0</v>
      </c>
      <c r="F43" s="2"/>
    </row>
    <row r="44" spans="2:6" x14ac:dyDescent="0.25">
      <c r="B44" s="2" t="s">
        <v>25</v>
      </c>
      <c r="C44" s="2">
        <v>180</v>
      </c>
      <c r="D44" s="2" t="s">
        <v>22</v>
      </c>
      <c r="E44" s="2">
        <f>+C44/30</f>
        <v>6</v>
      </c>
      <c r="F44" s="2"/>
    </row>
    <row r="45" spans="2:6" x14ac:dyDescent="0.25">
      <c r="B45" s="2" t="s">
        <v>26</v>
      </c>
      <c r="C45" s="2">
        <v>180</v>
      </c>
      <c r="D45" s="2" t="s">
        <v>23</v>
      </c>
      <c r="E45" s="2">
        <f>+C45/30</f>
        <v>6</v>
      </c>
      <c r="F45" s="2"/>
    </row>
    <row r="46" spans="2:6" x14ac:dyDescent="0.25">
      <c r="B46" s="2"/>
      <c r="C46" s="2"/>
      <c r="D46" s="2"/>
    </row>
    <row r="47" spans="2:6" x14ac:dyDescent="0.25">
      <c r="B47" s="2" t="s">
        <v>24</v>
      </c>
      <c r="C47" s="2">
        <v>24</v>
      </c>
      <c r="D47" s="2" t="s">
        <v>21</v>
      </c>
      <c r="E47" s="2">
        <v>0</v>
      </c>
      <c r="F47" s="2"/>
    </row>
    <row r="48" spans="2:6" x14ac:dyDescent="0.25">
      <c r="B48" s="2" t="s">
        <v>25</v>
      </c>
      <c r="C48" s="2">
        <f>+((C44/30)/$C$43)*$C$47*30</f>
        <v>240</v>
      </c>
      <c r="D48" s="2" t="s">
        <v>22</v>
      </c>
      <c r="E48" s="2">
        <f>+C48/30</f>
        <v>8</v>
      </c>
      <c r="F48" s="2"/>
    </row>
    <row r="49" spans="2:6" x14ac:dyDescent="0.25">
      <c r="B49" s="2" t="s">
        <v>26</v>
      </c>
      <c r="C49" s="2">
        <f>+(((C44+C45)/30)/$C$43)*$C$47*30</f>
        <v>480</v>
      </c>
      <c r="D49" s="2" t="s">
        <v>23</v>
      </c>
      <c r="E49" s="2">
        <f>+C49/30</f>
        <v>16</v>
      </c>
      <c r="F49" s="2"/>
    </row>
    <row r="51" spans="2:6" x14ac:dyDescent="0.25">
      <c r="B51" s="2" t="s">
        <v>29</v>
      </c>
      <c r="C51" s="2">
        <v>12</v>
      </c>
      <c r="D51" s="2" t="s">
        <v>21</v>
      </c>
    </row>
    <row r="52" spans="2:6" x14ac:dyDescent="0.25">
      <c r="B52" s="2"/>
      <c r="C52" s="2"/>
      <c r="D52" s="2"/>
    </row>
    <row r="53" spans="2:6" x14ac:dyDescent="0.25">
      <c r="B53" s="2" t="s">
        <v>34</v>
      </c>
      <c r="C53" s="2" t="s">
        <v>1</v>
      </c>
      <c r="D53" s="2"/>
    </row>
    <row r="54" spans="2:6" x14ac:dyDescent="0.25">
      <c r="B54" s="2"/>
      <c r="C54" s="2" t="s">
        <v>2</v>
      </c>
      <c r="D54" s="2"/>
    </row>
  </sheetData>
  <mergeCells count="4">
    <mergeCell ref="D4:S4"/>
    <mergeCell ref="D3:S3"/>
    <mergeCell ref="D6:S6"/>
    <mergeCell ref="D5:S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57BF79-0E63-48CD-B2DF-9E5693EB21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Sim Reg N° 800</vt:lpstr>
      <vt:lpstr>Valor UVA</vt:lpstr>
      <vt:lpstr>Variables</vt:lpstr>
    </vt:vector>
  </TitlesOfParts>
  <Company>BNA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Morelli,Pablo</dc:creator>
  <cp:lastModifiedBy>CAPUTO BLASON,PABLO EZEQUIEL</cp:lastModifiedBy>
  <cp:lastPrinted>2024-05-07T14:47:52Z</cp:lastPrinted>
  <dcterms:created xsi:type="dcterms:W3CDTF">2024-05-05T01:54:45Z</dcterms:created>
  <dcterms:modified xsi:type="dcterms:W3CDTF">2024-07-10T15:01:50Z</dcterms:modified>
</cp:coreProperties>
</file>